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FC74CD7A-25E1-3444-9498-62DF9AA7F24D}"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T4" i="1"/>
  <c r="BF5" i="1"/>
  <c r="BT5" i="1"/>
  <c r="BT6" i="1"/>
  <c r="BT7" i="1"/>
  <c r="BF8" i="1"/>
  <c r="BT8" i="1"/>
  <c r="BF9" i="1"/>
  <c r="BT9" i="1"/>
  <c r="BF10" i="1"/>
  <c r="BT10" i="1"/>
  <c r="BF11" i="1"/>
  <c r="BT11" i="1"/>
  <c r="BT12" i="1"/>
  <c r="BT13" i="1"/>
  <c r="BT14" i="1"/>
  <c r="BT15" i="1"/>
  <c r="BT16" i="1"/>
  <c r="BT17" i="1"/>
  <c r="BT18" i="1"/>
  <c r="BF19" i="1"/>
  <c r="BT19" i="1"/>
  <c r="BT20" i="1"/>
  <c r="BT21" i="1"/>
  <c r="BT22" i="1"/>
  <c r="BF23" i="1"/>
  <c r="BT23" i="1"/>
  <c r="BF24" i="1"/>
  <c r="BT24" i="1"/>
  <c r="BF25" i="1"/>
  <c r="BT25" i="1"/>
  <c r="BF26" i="1"/>
  <c r="BT26" i="1"/>
  <c r="BF27" i="1"/>
  <c r="BT27" i="1"/>
  <c r="BF28" i="1"/>
  <c r="BT28" i="1"/>
  <c r="BF29" i="1"/>
  <c r="BT29" i="1"/>
  <c r="BF30" i="1"/>
  <c r="BT30" i="1"/>
  <c r="BF31" i="1"/>
  <c r="BT31" i="1"/>
  <c r="BF32" i="1"/>
  <c r="BT32" i="1"/>
  <c r="BT33" i="1"/>
  <c r="BT34" i="1"/>
  <c r="BF35" i="1"/>
  <c r="BT35" i="1"/>
  <c r="BF36" i="1"/>
  <c r="BT36" i="1"/>
  <c r="BF37" i="1"/>
  <c r="BT37" i="1"/>
  <c r="BF38" i="1"/>
  <c r="BT38" i="1"/>
  <c r="BT39" i="1"/>
  <c r="BT40" i="1"/>
  <c r="BT41" i="1"/>
  <c r="BT42" i="1"/>
  <c r="BT43" i="1"/>
  <c r="BF44" i="1"/>
  <c r="BT44" i="1"/>
  <c r="BF45" i="1"/>
  <c r="BT45" i="1"/>
  <c r="BF46" i="1"/>
  <c r="BT46" i="1"/>
  <c r="BF47" i="1"/>
  <c r="BT47" i="1"/>
  <c r="BF48" i="1"/>
  <c r="BT48" i="1"/>
  <c r="BF49" i="1"/>
  <c r="BT49" i="1"/>
  <c r="BT50" i="1"/>
  <c r="BF51" i="1"/>
  <c r="BT51" i="1"/>
  <c r="BF52" i="1"/>
  <c r="BT52" i="1"/>
  <c r="BF53" i="1"/>
  <c r="BT53" i="1"/>
  <c r="BT54" i="1"/>
  <c r="BT55" i="1"/>
  <c r="BF56" i="1"/>
  <c r="BT56" i="1"/>
  <c r="BF57" i="1"/>
  <c r="BT57" i="1"/>
  <c r="BF58" i="1"/>
  <c r="BT58" i="1"/>
  <c r="BF59" i="1"/>
  <c r="BT59" i="1"/>
  <c r="BT60" i="1"/>
  <c r="BF61" i="1"/>
  <c r="BT61" i="1"/>
  <c r="BF62" i="1"/>
  <c r="BT62" i="1"/>
  <c r="BF63" i="1"/>
  <c r="BT63" i="1"/>
  <c r="BT64" i="1"/>
  <c r="BF65" i="1"/>
  <c r="BT65" i="1"/>
  <c r="BT66" i="1"/>
  <c r="BF67" i="1"/>
  <c r="BT67" i="1"/>
  <c r="BF68" i="1"/>
  <c r="BT68" i="1"/>
  <c r="BF69" i="1"/>
  <c r="BT69" i="1"/>
  <c r="BF70" i="1"/>
  <c r="BT70" i="1"/>
  <c r="BF71" i="1"/>
  <c r="BT71" i="1"/>
  <c r="BF72" i="1"/>
  <c r="BT72" i="1"/>
  <c r="BT73"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T105" i="1"/>
  <c r="BT106" i="1"/>
  <c r="BF107" i="1"/>
  <c r="BT107" i="1"/>
  <c r="BF108" i="1"/>
  <c r="BT108" i="1"/>
  <c r="BF109" i="1"/>
  <c r="BT109"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T140" i="1"/>
  <c r="BF141" i="1"/>
  <c r="BT141" i="1"/>
  <c r="BF142" i="1"/>
  <c r="BT142" i="1"/>
  <c r="BT143" i="1"/>
  <c r="BF144" i="1"/>
  <c r="BT144" i="1"/>
  <c r="BF145" i="1"/>
  <c r="BT145" i="1"/>
  <c r="BF146" i="1"/>
  <c r="BT146" i="1"/>
  <c r="BF147" i="1"/>
  <c r="BT147" i="1"/>
  <c r="BT148" i="1"/>
  <c r="BT149" i="1"/>
  <c r="BT150" i="1"/>
  <c r="BT151" i="1"/>
  <c r="BT152" i="1"/>
  <c r="BF153" i="1"/>
  <c r="BT153" i="1"/>
  <c r="BT154" i="1"/>
  <c r="BT155" i="1"/>
  <c r="BT156" i="1"/>
  <c r="BT157" i="1"/>
  <c r="BT158" i="1"/>
  <c r="BT159" i="1"/>
  <c r="BT160" i="1"/>
  <c r="BT161" i="1"/>
  <c r="BT162" i="1"/>
  <c r="BT163" i="1"/>
  <c r="BT164" i="1"/>
  <c r="BT165"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T214" i="1"/>
  <c r="BT215" i="1"/>
  <c r="BT216" i="1"/>
  <c r="BT217" i="1"/>
  <c r="BT218" i="1"/>
  <c r="BT219" i="1"/>
  <c r="BT220" i="1"/>
  <c r="BT221" i="1"/>
  <c r="BF222" i="1"/>
  <c r="BT222" i="1"/>
  <c r="BF223" i="1"/>
  <c r="BT223" i="1"/>
  <c r="BF224" i="1"/>
  <c r="BT224" i="1"/>
  <c r="BF225" i="1"/>
  <c r="BT225" i="1"/>
  <c r="BF226" i="1"/>
  <c r="BT226" i="1"/>
  <c r="BF227" i="1"/>
  <c r="BT227" i="1"/>
  <c r="BF228" i="1"/>
  <c r="BT228" i="1"/>
  <c r="BF229" i="1"/>
  <c r="BT229" i="1"/>
  <c r="BF230" i="1"/>
  <c r="BT230" i="1"/>
  <c r="BT231" i="1"/>
  <c r="BT232" i="1"/>
  <c r="BT233" i="1"/>
  <c r="BT234" i="1"/>
  <c r="BT235" i="1"/>
  <c r="BF236" i="1"/>
  <c r="BT236" i="1"/>
  <c r="BT237" i="1"/>
  <c r="BT238" i="1"/>
  <c r="BT239" i="1"/>
  <c r="BT240" i="1"/>
  <c r="BT241" i="1"/>
  <c r="BT242" i="1"/>
  <c r="BT243"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T300" i="1"/>
  <c r="BF301" i="1"/>
  <c r="BT301" i="1"/>
  <c r="BF302" i="1"/>
  <c r="BT302" i="1"/>
  <c r="BF303" i="1"/>
  <c r="BT303" i="1"/>
  <c r="BT304" i="1"/>
  <c r="BT305" i="1"/>
  <c r="BF306" i="1"/>
  <c r="BT306" i="1"/>
  <c r="BF307" i="1"/>
  <c r="BT307" i="1"/>
  <c r="BF308" i="1"/>
  <c r="BT308" i="1"/>
  <c r="BF309" i="1"/>
  <c r="BT309" i="1"/>
  <c r="BF310" i="1"/>
  <c r="BT310" i="1"/>
  <c r="BF311" i="1"/>
  <c r="BT311" i="1"/>
  <c r="BF312" i="1"/>
  <c r="BT312" i="1"/>
  <c r="BT313" i="1"/>
  <c r="BF314" i="1"/>
  <c r="BT314" i="1"/>
  <c r="BF315" i="1"/>
  <c r="BT315" i="1"/>
  <c r="BF316" i="1"/>
  <c r="BT316" i="1"/>
  <c r="BT317" i="1"/>
  <c r="BF318" i="1"/>
  <c r="BT318" i="1"/>
  <c r="BT319" i="1"/>
  <c r="BF320" i="1"/>
  <c r="BT320" i="1"/>
  <c r="BF321" i="1"/>
  <c r="BT321" i="1"/>
  <c r="BF322" i="1"/>
  <c r="BT322" i="1"/>
  <c r="BF323" i="1"/>
  <c r="BT323" i="1"/>
  <c r="BF324" i="1"/>
  <c r="BT324" i="1"/>
  <c r="BF325" i="1"/>
  <c r="BT325" i="1"/>
  <c r="BF326" i="1"/>
  <c r="BT326" i="1"/>
  <c r="BF327" i="1"/>
  <c r="BT327" i="1"/>
  <c r="BF328" i="1"/>
  <c r="BT328" i="1"/>
  <c r="BT329" i="1"/>
  <c r="BF330" i="1"/>
  <c r="BT330" i="1"/>
  <c r="BF331" i="1"/>
  <c r="BT331" i="1"/>
  <c r="BF332" i="1"/>
  <c r="BT332" i="1"/>
  <c r="BT333" i="1"/>
  <c r="BT334" i="1"/>
  <c r="BF335" i="1"/>
  <c r="BT335" i="1"/>
  <c r="BF336" i="1"/>
  <c r="BT336" i="1"/>
  <c r="BF337" i="1"/>
  <c r="BT337" i="1"/>
  <c r="BF338" i="1"/>
  <c r="BT338" i="1"/>
  <c r="BF339" i="1"/>
  <c r="BT339" i="1"/>
  <c r="BF340" i="1"/>
  <c r="BT340" i="1"/>
  <c r="BF341" i="1"/>
  <c r="BT341" i="1"/>
  <c r="BF342" i="1"/>
  <c r="BT342" i="1"/>
  <c r="BF343" i="1"/>
  <c r="BT343" i="1"/>
  <c r="BF344" i="1"/>
  <c r="BT344" i="1"/>
  <c r="BT345" i="1"/>
  <c r="BF346" i="1"/>
  <c r="BT346" i="1"/>
  <c r="BF347" i="1"/>
  <c r="BT347" i="1"/>
  <c r="BF348" i="1"/>
  <c r="BT348" i="1"/>
  <c r="BF349" i="1"/>
  <c r="BT349" i="1"/>
  <c r="BF350" i="1"/>
  <c r="BT350" i="1"/>
  <c r="BF351" i="1"/>
  <c r="BT351" i="1"/>
  <c r="BT352" i="1"/>
  <c r="BF353" i="1"/>
  <c r="BT353" i="1"/>
  <c r="BF354" i="1"/>
  <c r="BT354" i="1"/>
  <c r="BF355" i="1"/>
  <c r="BT355" i="1"/>
  <c r="BT356" i="1"/>
  <c r="BT357" i="1"/>
  <c r="BF358" i="1"/>
  <c r="BT358" i="1"/>
  <c r="BT359" i="1"/>
  <c r="BT360" i="1"/>
  <c r="BF361" i="1"/>
  <c r="BT361" i="1"/>
  <c r="BF362" i="1"/>
  <c r="BT362"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T400" i="1"/>
  <c r="BF401" i="1"/>
  <c r="BT401" i="1"/>
  <c r="BF402" i="1"/>
  <c r="BT402" i="1"/>
  <c r="BT403" i="1"/>
  <c r="BF404" i="1"/>
  <c r="BT404" i="1"/>
  <c r="BF405" i="1"/>
  <c r="BT405" i="1"/>
  <c r="BF406" i="1"/>
  <c r="BT406" i="1"/>
  <c r="BF407" i="1"/>
  <c r="BT407" i="1"/>
  <c r="BF408" i="1"/>
  <c r="BT408" i="1"/>
  <c r="BF409" i="1"/>
  <c r="BT409" i="1"/>
  <c r="BF410" i="1"/>
  <c r="BT410" i="1"/>
  <c r="BT411" i="1"/>
  <c r="BT412" i="1"/>
  <c r="BT413" i="1"/>
  <c r="BT414" i="1"/>
  <c r="BF415" i="1"/>
  <c r="BT415" i="1"/>
  <c r="BF416" i="1"/>
  <c r="BT416" i="1"/>
  <c r="BF417" i="1"/>
  <c r="BT417" i="1"/>
  <c r="BF418" i="1"/>
  <c r="BT418" i="1"/>
  <c r="BF419" i="1"/>
  <c r="BT419" i="1"/>
  <c r="BF420" i="1"/>
  <c r="BT420" i="1"/>
  <c r="BF421" i="1"/>
  <c r="BT421" i="1"/>
  <c r="BF422" i="1"/>
  <c r="BT422" i="1"/>
  <c r="BT423" i="1"/>
  <c r="BF424" i="1"/>
  <c r="BT424" i="1"/>
  <c r="BF425" i="1"/>
  <c r="BT425"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T438" i="1"/>
  <c r="BT439" i="1"/>
  <c r="BF440" i="1"/>
  <c r="BT440" i="1"/>
  <c r="BT441" i="1"/>
  <c r="BF442" i="1"/>
  <c r="BT442" i="1"/>
  <c r="BF443" i="1"/>
  <c r="BT443" i="1"/>
  <c r="BF444" i="1"/>
  <c r="BT444" i="1"/>
  <c r="BT445" i="1"/>
  <c r="BT446" i="1"/>
  <c r="BT447" i="1"/>
  <c r="BT448" i="1"/>
  <c r="BF449" i="1"/>
  <c r="BT449" i="1"/>
  <c r="BF450" i="1"/>
  <c r="BT450" i="1"/>
  <c r="BF451" i="1"/>
  <c r="BT451" i="1"/>
  <c r="BF452" i="1"/>
  <c r="BT452" i="1"/>
  <c r="BT453" i="1"/>
  <c r="BF454" i="1"/>
  <c r="BT454" i="1"/>
  <c r="BT455" i="1"/>
  <c r="BF456" i="1"/>
  <c r="BT456"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T509"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T526" i="1"/>
  <c r="BF527" i="1"/>
  <c r="BT527" i="1"/>
  <c r="BF528" i="1"/>
  <c r="BT528" i="1"/>
  <c r="BF529" i="1"/>
  <c r="BT529" i="1"/>
  <c r="BF530" i="1"/>
  <c r="BT530" i="1"/>
  <c r="BF531" i="1"/>
  <c r="BT531" i="1"/>
  <c r="BF532" i="1"/>
  <c r="BT532" i="1"/>
  <c r="BF533" i="1"/>
  <c r="BT533" i="1"/>
  <c r="BF534" i="1"/>
  <c r="BT534" i="1"/>
  <c r="BF535" i="1"/>
  <c r="BT535" i="1"/>
  <c r="BT536" i="1"/>
  <c r="BF537" i="1"/>
  <c r="BT537" i="1"/>
  <c r="BF538" i="1"/>
  <c r="BT538" i="1"/>
  <c r="BT539" i="1"/>
  <c r="BF540" i="1"/>
  <c r="BT540" i="1"/>
  <c r="BF541" i="1"/>
  <c r="BT541" i="1"/>
  <c r="BF542" i="1"/>
  <c r="BT542" i="1"/>
  <c r="BF543" i="1"/>
  <c r="BT543" i="1"/>
  <c r="BF544" i="1"/>
  <c r="BT544" i="1"/>
  <c r="BF545" i="1"/>
  <c r="BT545" i="1"/>
  <c r="BF546" i="1"/>
  <c r="BT546" i="1"/>
  <c r="BF547" i="1"/>
  <c r="BT547" i="1"/>
  <c r="BT548"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T570" i="1"/>
  <c r="BF571" i="1"/>
  <c r="BT571" i="1"/>
  <c r="BF572" i="1"/>
  <c r="BT572" i="1"/>
  <c r="BT573" i="1"/>
  <c r="BT574" i="1"/>
  <c r="BF575" i="1"/>
  <c r="BT575" i="1"/>
  <c r="BF576" i="1"/>
  <c r="BT576" i="1"/>
  <c r="BF577" i="1"/>
  <c r="BT577" i="1"/>
  <c r="BF578" i="1"/>
  <c r="BT578"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T591" i="1"/>
  <c r="BT592" i="1"/>
  <c r="BF593" i="1"/>
  <c r="BT593" i="1"/>
  <c r="BF594" i="1"/>
  <c r="BT594" i="1"/>
  <c r="BF595" i="1"/>
  <c r="BT595" i="1"/>
  <c r="BF596" i="1"/>
  <c r="BT596" i="1"/>
  <c r="BF597" i="1"/>
  <c r="BT597"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T632" i="1"/>
  <c r="BF633" i="1"/>
  <c r="BT633"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T673" i="1"/>
  <c r="BF674" i="1"/>
  <c r="BT674" i="1"/>
  <c r="BF675" i="1"/>
  <c r="BT675" i="1"/>
  <c r="BT676" i="1"/>
  <c r="BF677" i="1"/>
  <c r="BT677" i="1"/>
  <c r="BF678" i="1"/>
  <c r="BT678" i="1"/>
  <c r="BF679" i="1"/>
  <c r="BT679" i="1"/>
  <c r="BF680" i="1"/>
  <c r="BT680"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T695" i="1"/>
  <c r="BF696" i="1"/>
  <c r="BT696" i="1"/>
  <c r="BF697" i="1"/>
  <c r="BT697" i="1"/>
  <c r="BF698" i="1"/>
  <c r="BT698" i="1"/>
  <c r="BF699" i="1"/>
  <c r="BT699" i="1"/>
  <c r="BF700" i="1"/>
  <c r="BT700" i="1"/>
  <c r="BF701" i="1"/>
  <c r="BT701" i="1"/>
  <c r="BF702" i="1"/>
  <c r="BT702" i="1"/>
  <c r="BT703" i="1"/>
  <c r="BF704" i="1"/>
  <c r="BT704" i="1"/>
  <c r="BF705" i="1"/>
  <c r="BT705" i="1"/>
  <c r="BF706" i="1"/>
  <c r="BT706" i="1"/>
  <c r="BF707" i="1"/>
  <c r="BT707" i="1"/>
  <c r="BF708" i="1"/>
  <c r="BT708" i="1"/>
  <c r="BT709" i="1"/>
  <c r="BF710" i="1"/>
  <c r="BT710" i="1"/>
  <c r="BF711" i="1"/>
  <c r="BT711" i="1"/>
  <c r="BF712" i="1"/>
  <c r="BT712" i="1"/>
  <c r="BF713" i="1"/>
  <c r="BT713" i="1"/>
  <c r="BT714" i="1"/>
  <c r="BF715" i="1"/>
  <c r="BT715" i="1"/>
  <c r="BF716" i="1"/>
  <c r="BT716" i="1"/>
  <c r="BT717" i="1"/>
  <c r="BT718" i="1"/>
  <c r="BT719" i="1"/>
  <c r="BF720" i="1"/>
  <c r="BT720" i="1"/>
  <c r="BT721" i="1"/>
  <c r="BT722" i="1"/>
  <c r="BT723" i="1"/>
  <c r="BT724" i="1"/>
  <c r="BF725" i="1"/>
  <c r="BT725" i="1"/>
  <c r="BF726" i="1"/>
  <c r="BT726" i="1"/>
  <c r="BT727" i="1"/>
  <c r="BT728" i="1"/>
  <c r="BF729" i="1"/>
  <c r="BT729" i="1"/>
  <c r="BT730" i="1"/>
  <c r="BF731" i="1"/>
  <c r="BT731" i="1"/>
  <c r="BF732" i="1"/>
  <c r="BT732" i="1"/>
  <c r="BF733" i="1"/>
  <c r="BT733" i="1"/>
  <c r="BF734" i="1"/>
  <c r="BT734" i="1"/>
  <c r="BF735" i="1"/>
  <c r="BT735" i="1"/>
  <c r="BF736" i="1"/>
  <c r="BT736" i="1"/>
  <c r="BF737" i="1"/>
  <c r="BT737" i="1"/>
  <c r="BF738" i="1"/>
  <c r="BT738"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T756" i="1"/>
  <c r="BF757" i="1"/>
  <c r="BT757" i="1"/>
  <c r="BF758" i="1"/>
  <c r="BT758" i="1"/>
  <c r="BF759" i="1"/>
  <c r="BT759" i="1"/>
  <c r="BF760" i="1"/>
  <c r="BT760"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T785" i="1"/>
  <c r="BF786" i="1"/>
  <c r="BT786" i="1"/>
  <c r="BF787" i="1"/>
  <c r="BT787" i="1"/>
  <c r="BF788" i="1"/>
  <c r="BT788" i="1"/>
  <c r="BF789" i="1"/>
  <c r="BT789" i="1"/>
  <c r="BF790" i="1"/>
  <c r="BT790" i="1"/>
  <c r="BF791" i="1"/>
  <c r="BT791" i="1"/>
  <c r="BF792" i="1"/>
  <c r="BT792"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T828" i="1"/>
  <c r="BT829" i="1"/>
  <c r="BF830" i="1"/>
  <c r="BT830" i="1"/>
  <c r="BF831" i="1"/>
  <c r="BT831" i="1"/>
  <c r="BF832" i="1"/>
  <c r="BT832" i="1"/>
  <c r="BF833" i="1"/>
  <c r="BT833" i="1"/>
  <c r="BF834" i="1"/>
  <c r="BT834"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T854" i="1"/>
  <c r="BF855" i="1"/>
  <c r="BT855" i="1"/>
  <c r="BF856" i="1"/>
  <c r="BT856" i="1"/>
  <c r="BF857" i="1"/>
  <c r="BT857" i="1"/>
  <c r="BF858" i="1"/>
  <c r="BT858" i="1"/>
  <c r="BF859" i="1"/>
  <c r="BT859" i="1"/>
  <c r="BT860" i="1"/>
  <c r="BF861" i="1"/>
  <c r="BT861" i="1"/>
  <c r="BF862" i="1"/>
  <c r="BT862" i="1"/>
  <c r="BF863" i="1"/>
  <c r="BT863" i="1"/>
  <c r="BT864" i="1"/>
  <c r="BT865" i="1"/>
  <c r="BF866" i="1"/>
  <c r="BT866" i="1"/>
  <c r="BF867" i="1"/>
  <c r="BT867" i="1"/>
  <c r="BF868" i="1"/>
  <c r="BT868" i="1"/>
  <c r="BF869" i="1"/>
  <c r="BT869"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T898" i="1"/>
  <c r="BT899" i="1"/>
  <c r="BF900" i="1"/>
  <c r="BT900" i="1"/>
  <c r="BF901" i="1"/>
  <c r="BT901" i="1"/>
  <c r="BF902" i="1"/>
  <c r="BT902" i="1"/>
  <c r="BF903" i="1"/>
  <c r="BT903" i="1"/>
  <c r="BF904" i="1"/>
  <c r="BT904" i="1"/>
  <c r="BT905" i="1"/>
  <c r="BT906"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T930" i="1"/>
  <c r="BT931" i="1"/>
  <c r="BT932" i="1"/>
  <c r="BT933" i="1"/>
  <c r="BF934" i="1"/>
  <c r="BT934" i="1"/>
  <c r="BF935" i="1"/>
  <c r="BT935"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T975" i="1"/>
  <c r="BF976" i="1"/>
  <c r="BT976" i="1"/>
  <c r="BF977" i="1"/>
  <c r="BT977" i="1"/>
  <c r="BF978" i="1"/>
  <c r="BT978" i="1"/>
  <c r="BF979" i="1"/>
  <c r="BT979" i="1"/>
  <c r="BF980" i="1"/>
  <c r="BT980" i="1"/>
  <c r="BF981" i="1"/>
  <c r="BT981" i="1"/>
  <c r="BF982" i="1"/>
  <c r="BT982" i="1"/>
  <c r="BF983" i="1"/>
  <c r="BT983" i="1"/>
  <c r="BF984" i="1"/>
  <c r="BT984" i="1"/>
  <c r="BT985" i="1"/>
  <c r="BF986" i="1"/>
  <c r="BT986" i="1"/>
  <c r="BF987" i="1"/>
  <c r="BT987" i="1"/>
  <c r="BF988" i="1"/>
  <c r="BT988" i="1"/>
  <c r="BF989" i="1"/>
  <c r="BT989" i="1"/>
  <c r="BF990" i="1"/>
  <c r="BT990" i="1"/>
  <c r="BF991" i="1"/>
  <c r="BT991" i="1"/>
  <c r="BF992" i="1"/>
  <c r="BT992" i="1"/>
  <c r="BT993"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<sst xmlns="http://schemas.openxmlformats.org/spreadsheetml/2006/main" count="59510" uniqueCount="13054">
  <si>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</si>
  <si>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</si>
  <si>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</si>
  <si>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</si>
  <si>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</si>
  <si>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</si>
  <si>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</si>
  <si>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</si>
  <si>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</si>
  <si>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</si>
  <si>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</si>
  <si>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</si>
  <si>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</si>
  <si>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</si>
  <si>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</si>
  <si>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</si>
  <si>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</si>
  <si>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</si>
  <si>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</si>
  <si>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</si>
  <si>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</si>
  <si>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</si>
  <si>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</si>
  <si>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</si>
  <si>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</si>
  <si>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</si>
  <si>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</si>
  <si>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</si>
  <si>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</si>
  <si>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</si>
  <si>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</si>
  <si>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</si>
  <si>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</si>
  <si>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</si>
  <si>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</si>
  <si>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</si>
  <si>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</si>
  <si>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</si>
  <si>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</si>
  <si>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</si>
  <si>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</si>
  <si>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</si>
  <si>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</si>
  <si>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</si>
  <si>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</si>
  <si>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</si>
  <si>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</si>
  <si>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</si>
  <si>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</si>
  <si>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</si>
  <si>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</si>
  <si>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</si>
  <si>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</si>
  <si>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</si>
  <si>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</si>
  <si>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</si>
  <si>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</si>
  <si>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</si>
  <si>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</si>
  <si>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</si>
  <si>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</si>
  <si>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</si>
  <si>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</si>
  <si>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</si>
  <si>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</si>
  <si>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</si>
  <si>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</si>
  <si>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</si>
  <si>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</si>
  <si>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</si>
  <si>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</si>
  <si>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</si>
  <si>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</si>
  <si>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Beyer, L; Bölter, M</t>
  </si>
  <si>
    <t/>
  </si>
  <si>
    <t>Formation, ecology, and geography of Cryosols of an ice-free oasis in Coastal East Antarctica near Casey Station (Wilkes Land)</t>
  </si>
  <si>
    <t>AUSTRALIAN JOURNAL OF SOIL RESEARCH</t>
  </si>
  <si>
    <t>English</t>
  </si>
  <si>
    <t>Review</t>
  </si>
  <si>
    <t>soil temperature; podzolisation; available water; soil organic matter; ornithogenic soils; variability; future aspects</t>
  </si>
  <si>
    <t>IONIZATION MASS-SPECTROMETRY; SOIL ORGANIC-MATTER; ISLAND ARCTOWSKI STATION; CONTINENTAL ANTARCTICA; ORNITHOGENIC SOILS; WINDMILL-ISLANDS; BUDD COAST; PHYSIOLOGICAL INVESTIGATIONS; PEDOGENIC ZONATION; MICROBIAL BIOMASS</t>
  </si>
  <si>
    <t>New soil studies in the cold suggest that in the terrestrial ecosystems of the coastal regions of the antarctic continent, soil formation and chemical weathering occur to a greater extent than previously expected. This paper summarises the pedogenic results of an Australian-funded expedition to Casey Station and presents a soil formation sequence on a small-scale database. The accumulation of soil organic matter and podzolisation are important soil-forming processes up to the antarctic polar desert. This study has revealed a high variability in soil geography and soil properties at both a profile and landscape level. However, previous results indicate a correlation between soil cover and vegetation pattern. Nutrient supply in soil is affected by high contents and availability of nitrogen, phosphate, potassium, and magnesium due to the presence of seabirds.</t>
  </si>
  <si>
    <t>Univ Kiel, Inst Soil Sci, D-24098 Kiel, Germany; Univ Kiel, Inst Polar Ecol, D-24148 Kiel, Germany</t>
  </si>
  <si>
    <t>University of Kiel; University of Kiel</t>
  </si>
  <si>
    <t>Univ Kiel, Inst Soil Sci, Olshausenstr 40, D-24098 Kiel, Germany.</t>
  </si>
  <si>
    <t>lbeyer@bodenkunde.uni-kiel.de; mboelter@ipoe.de</t>
  </si>
  <si>
    <t>CSIRO PUBLISHING</t>
  </si>
  <si>
    <t>CLAYTON</t>
  </si>
  <si>
    <t>UNIPARK, BLDG 1, LEVEL 1, 195 WELLINGTON RD, LOCKED BAG 10, CLAYTON, VIC 3168, AUSTRALIA</t>
  </si>
  <si>
    <t>0004-9573</t>
  </si>
  <si>
    <t>1446-568X</t>
  </si>
  <si>
    <t>AUST J SOIL RES</t>
  </si>
  <si>
    <t>Aust. J. Soil Res.</t>
  </si>
  <si>
    <t>10.1071/S98011</t>
  </si>
  <si>
    <t>Soil Science</t>
  </si>
  <si>
    <t>Science Citation Index Expanded (SCI-EXPANDED)</t>
  </si>
  <si>
    <t>Agriculture</t>
  </si>
  <si>
    <t>160YB</t>
  </si>
  <si>
    <t>2024-04-21</t>
  </si>
  <si>
    <t>WOS:000078259000015</t>
  </si>
  <si>
    <t>Goldsworthy, SD; Crowley, HM</t>
  </si>
  <si>
    <t>The composition of the milk of antarctic (Arctocephalus gazella) and subantarctic (A-tropicalis) fur seals at Macquarie Island</t>
  </si>
  <si>
    <t>AUSTRALIAN JOURNAL OF ZOOLOGY</t>
  </si>
  <si>
    <t>Article</t>
  </si>
  <si>
    <t>FORAGING ENERGETICS; PATTERNS; LACTATION; PENGUINS; LION; DIET</t>
  </si>
  <si>
    <t>The composition of milk collected from 36 antarctic (Arctocephalus gazella) and 17 subantarctic fur seals (A. tropicalis) breeding sympatrically at Macquarie Island was examined over the first 100 days of lactation in the 1990/91 season. The mean composition of milk in A. gazella and A. tropicalis was 41.3% and 44.6% water, 39.8% and 38.6% lipid, 18.1% and 16.1% protein, and the estimated gross energy content of milk was 19.9 and 18.9 kJ g(-1), respectively. Neither the composition of milk nor its energy density differed significantly between species, despite a difference of 4-6 months in lactation length. Water content of milk could be used to predict lipid (r(2) = 0.67) and protein (r(2) = 0.57) content, but was most accurate at predicting gross energy content (r(2) = 0.97). These relationships were the same for each species. The water content of milk decreased throughout the first 100 days of lactation in both species, while lipid, protein and energy content all increased. The addition of maternal mass into regression analysis with days post-partum increased the significance of models predicting the content of lipid and proteins in the milk, but not those predicting the water or gross energy content. Milk collected on the first day of 2-day attendance bouts had, on average, 9% greater lipid content, and 5% greater protein content than milk collected on the second day. The growth rates of subantarctic fur seal pups were significantly lower than those of antarctic fur seal pups over the first month of growth, suggesting that (despite similar milk composition, attendance patterns and diet of the two species of fur seal) the overall rates of energy transfer from mother to pup in subantarctic fur seals is lower than in antarctic fur seals.</t>
  </si>
  <si>
    <t>Univ Tasmania, Dept Zool, Antarctic Wildlife Res Unit, Hobart, Tas 7001, Australia; Australian Natl Univ, Div Bot &amp; Zool, Canberra, ACT 0200, Australia</t>
  </si>
  <si>
    <t>University of Tasmania; Australian National University</t>
  </si>
  <si>
    <t>Goldsworthy, SD (corresponding author), Univ Tasmania, Dept Zool, Antarctic Wildlife Res Unit, GPO box 252-05, Hobart, Tas 7001, Australia.</t>
  </si>
  <si>
    <t>Goldsworthy, Simon/0000-0003-4988-9085</t>
  </si>
  <si>
    <t>C S I R O PUBLISHING</t>
  </si>
  <si>
    <t>COLLINGWOOD</t>
  </si>
  <si>
    <t>150 OXFORD ST, PO BOX 1139, COLLINGWOOD, VICTORIA 3066, AUSTRALIA</t>
  </si>
  <si>
    <t>0004-959X</t>
  </si>
  <si>
    <t>AUST J ZOOL</t>
  </si>
  <si>
    <t>Aust. J. Zool.</t>
  </si>
  <si>
    <t>10.1071/ZO98067</t>
  </si>
  <si>
    <t>Zoology</t>
  </si>
  <si>
    <t>262LY</t>
  </si>
  <si>
    <t>WOS:000084069800005</t>
  </si>
  <si>
    <t>Gooday, AJ</t>
  </si>
  <si>
    <t>Biodiversity of foraminifera and other protists in the deep sea: Scales and patterns</t>
  </si>
  <si>
    <t>BELGIAN JOURNAL OF ZOOLOGY</t>
  </si>
  <si>
    <t>Article; Proceedings Paper</t>
  </si>
  <si>
    <t>5th Benelux Congress of Zoology</t>
  </si>
  <si>
    <t>NOV 06-07, 1998</t>
  </si>
  <si>
    <t>GHENT, BELGIUM</t>
  </si>
  <si>
    <t>foraminifera; protist; diversity; xenophyophore; paleoceanography</t>
  </si>
  <si>
    <t>SANTA-BARBARA BASIN; ABYSSAL NE ATLANTIC; SPECIES-DIVERSITY; NORTHEAST ATLANTIC; CONTINENTAL-SLOPE; XENOPHYOPHORES PROTISTA; BENTHIC FORAMINIFERA; BATHYAL; ENVIRONMENTS; ECOLOGY</t>
  </si>
  <si>
    <t>Ocean-floor sediments harbour a variety of protistan taxa, including ciliates, flagellates, naked amoebae, testate amoebae, foraminifera and xenophyophores. Only the foraminifera and xenophyohores, however, are reasonably well studied at the species level. Despite being an important component of deep-sea communities, these protists are frequently disregarded in biodiversity studies. This is unfortunate because live (rose Bengal stained) foraminifera are rich in species and morphologically very diverse. Individual samples from well-oxygenated bathyal and abyssal settings may contain up to 150 and sometimes more than 200 live species (&gt;63-mu m fraction). The local diversity of foraminifera seems broadly comparable to that of nematodes among the meiofauna and polychaetes among the macrofauna. Particularly at abyssal sites, many species are undescribed and belong to poorly-known, soft-shelled tare. Extrapolating from local to global diversity (a popular activity in biodiversity research) is hampered by lack information about species distribution patterns, particularly for the soft-shelled taxa. However, many deep-sea foraminiferal species in normal well-oxy genated deep-sea settings appear to be widely distributed, implying relatively modest levels of global diversity. Trends in foraminiferal diversity in response to regional gradients of increasing organic enrichment and decreasing oxygen concentrations are fairly well described; species richness decreases, and dominance increases. Changes in foraminiferal diversity with increasing bathymetric depth down the continental slope have also been reported, but latitudinal diversity gradients remain largely undocumented among foraminifera in modern deep-sea settings. Because of their extensive fossil record, calcareous and other hard-shelled species can be used to address the influence of historical processes on large-scale diversity patterns. For example, the establishment of an Antarctic ice sheet 35 million years ago has been linked to the development of an ancient latitudinal diversity gradient among deep-sea foraminifera in the Southern Hemisphere. Xenophyophores are much less speciose than foraminifera. It has been estimated by TENDAL (1996) that only about one hundred species, described and undescribed, exist in modern oceans. Where the two groups coexist at a single locality, there may be an order of magnitude fewer xenophyophore species than foraminiferal species. The much lower number of xenophyophore species probably reflects their larger size and narrower ecological tolerance compared to foraminifera.</t>
  </si>
  <si>
    <t>Southampton Oceanog Ctr, Southampton SO14 3ZH, Hants, England</t>
  </si>
  <si>
    <t>University of Southampton; NERC National Oceanography Centre</t>
  </si>
  <si>
    <t>Southampton Oceanog Ctr, Empress Dock,European Way, Southampton SO14 3ZH, Hants, England.</t>
  </si>
  <si>
    <t>ang@soc.soton.ac.uk</t>
  </si>
  <si>
    <t>Gooday, Andrew/AAH-8991-2021; Gooday, Andrew/ABB-4267-2020</t>
  </si>
  <si>
    <t>Gooday, Andrew/0000-0002-5661-7371</t>
  </si>
  <si>
    <t>ROYAL BELGIAN ZOOLOGICAL SOC</t>
  </si>
  <si>
    <t>BRUSSELS</t>
  </si>
  <si>
    <t>C/O PROF DR ISA SCHON, ROYAL BELGIAN INST NATURAL SCIENCES, DEPT FRESHWATER BIOLOGY, B-1000 BRUSSELS, BELGIUM</t>
  </si>
  <si>
    <t>0777-6276</t>
  </si>
  <si>
    <t>2295-0451</t>
  </si>
  <si>
    <t>BELG J ZOOL</t>
  </si>
  <si>
    <t>Belg. J. Zool.</t>
  </si>
  <si>
    <t>JAN</t>
  </si>
  <si>
    <t>Science Citation Index Expanded (SCI-EXPANDED); Conference Proceedings Citation Index - Science (CPCI-S)</t>
  </si>
  <si>
    <t>175AQ</t>
  </si>
  <si>
    <t>WOS:000079069100005</t>
  </si>
  <si>
    <t>C</t>
  </si>
  <si>
    <t>Edwards, HGM</t>
  </si>
  <si>
    <t>Morris, MD</t>
  </si>
  <si>
    <t>Raman spectroscopy as a diagnostic probe for ancient skin</t>
  </si>
  <si>
    <t>BIOMEDICAL APPLICATIONS OF RAMAN SPECTROSCOPY, PROCEEDINGS OF</t>
  </si>
  <si>
    <t>PROCEEDINGS OF THE SOCIETY OF PHOTO-OPTICAL INSTRUMENTATION ENGINEERS (SPIE)</t>
  </si>
  <si>
    <t>Proceedings Paper</t>
  </si>
  <si>
    <t>Conference on Biomedical Applications of Raman Spectroscopy</t>
  </si>
  <si>
    <t>JAN 25-26, 1999</t>
  </si>
  <si>
    <t>SAN JOSE, CA</t>
  </si>
  <si>
    <t>FT-Raman spectroscopy; skin; mummies; degradation; keratins; lipids</t>
  </si>
  <si>
    <t>KERATOTIC BIOPOLYMERS; SPECTRA</t>
  </si>
  <si>
    <t>Raman spectroscopy is able to provide novel information non-destructively in the analysis of ancient skin tissue samples. The technique is well-suited to partially desiccated or wet samples of skin, which may have been subjected to varying degrees of degradation, depending on the burial environment. Suitable selection of wavelength of excitation and use of a Raman microscope offer a means of accessing information from small samples, which may be required for study afterwards using destructive analytical methods. From comparisons with the Raman spectra of healthy and diseased contemporary skin specimens, it is possible to discover whether the skin preservation has been natural or assisted by chemicals used in mummification processes. Such information is of importance in archaeological conservation and can shed light on historical practices. In this study will be presented the results from Raman spectroscopic analysis of the skin of the 5200 year old Iceman of the Alps and an interesting comparison is made with recently discovered ice-mummified animal remains in the Antarctic.</t>
  </si>
  <si>
    <t>Univ Bradford, Bradford BD7 1DP, W Yorkshire, England</t>
  </si>
  <si>
    <t>University of Bradford</t>
  </si>
  <si>
    <t>Edwards, HGM (corresponding author), Univ Bradford, Bradford BD7 1DP, W Yorkshire, England.</t>
  </si>
  <si>
    <t>SPIE-INT SOC OPTICAL ENGINEERING</t>
  </si>
  <si>
    <t>BELLINGHAM</t>
  </si>
  <si>
    <t>1000 20TH ST, PO BOX 10, BELLINGHAM, WA 98227-0010 USA</t>
  </si>
  <si>
    <t>0277-786X</t>
  </si>
  <si>
    <t>0-8194-3078-1</t>
  </si>
  <si>
    <t>P SOC PHOTO-OPT INS</t>
  </si>
  <si>
    <t>10.1117/12.345388</t>
  </si>
  <si>
    <t>Engineering, Biomedical; Medical Laboratory Technology; Optics; Spectroscopy</t>
  </si>
  <si>
    <t>Conference Proceedings Citation Index - Science (CPCI-S)</t>
  </si>
  <si>
    <t>Engineering; Medical Laboratory Technology; Optics; Spectroscopy</t>
  </si>
  <si>
    <t>BN06B</t>
  </si>
  <si>
    <t>WOS:000080521500013</t>
  </si>
  <si>
    <t>Debrenne, F; Maidanskaya, ID; Zhuravlev, AY</t>
  </si>
  <si>
    <t>Faunal migrations of archaeocyaths and early Cambrian plate dynamics</t>
  </si>
  <si>
    <t>BULLETIN DE LA SOCIETE GEOLOGIQUE DE FRANCE</t>
  </si>
  <si>
    <t>tectonics; faunas; migrations; early Cambrian</t>
  </si>
  <si>
    <t>SOUTH CHINA; WESTERN MONGOLIA; LAURENTIA; RECONSTRUCTIONS; EVOLUTION; GONDWANA; BIOSTRATIGRAPHY; SUPERCONTINENT; HYPOTHESIS; CONNECTION</t>
  </si>
  <si>
    <t>Global palaeogeographic reconstructions for the early Cambrian can be constrained by the faunal distribution. The inferred pathways of archaeocyathan migrations coupled with the application of Jaccard's similarity coefficient to total local faunas supports the palaeogeographic reconstructions suggesting the existence of East and West Gondwana in the early Cambrian and rifting of Laurentia from Australian-Antarctic margin of East Gondwana (SWEAT hypothesis). A drift, of suspect terranes provides some further constraints for the understanding of the palaeozoogeography. The delayed appearance of Siberian archaeocyath assemblages in the suitable facies of Central Asian terranes was due to the restriction of these terranes to East Gondwana. The total combination of tectonic, facies, and palaeomagnetic data suggests that these fragments were drifted from East Gondwana to Siberia during the early Cambrian.</t>
  </si>
  <si>
    <t>Lab Paleontol, URA 12 CNRS, Paris, France; Russian Acad Sci, United Inst Phys Earth, Moscow, Russia; Russian Acad Sci, Inst Paleontol, Moscow, Russia</t>
  </si>
  <si>
    <t>Centre National de la Recherche Scientifique (CNRS); Russian Academy of Sciences; Schmidt Institute of Physics of the Earth of the Russian Academy of Sciences; Russian Academy of Sciences</t>
  </si>
  <si>
    <t>Debrenne, F (corresponding author), Lab Paleontol, URA 12 CNRS, Paris, France.</t>
  </si>
  <si>
    <t>Zhuravlev, Andrey Yu./L-1683-2014</t>
  </si>
  <si>
    <t>Zhuravlev, Andrey Yu./0000-0003-1611-6916</t>
  </si>
  <si>
    <t>SOC GEOL FRANCE</t>
  </si>
  <si>
    <t>PARIS</t>
  </si>
  <si>
    <t>77 RUE CLAUDE BERNARD, 75005 PARIS, FRANCE</t>
  </si>
  <si>
    <t>0037-9409</t>
  </si>
  <si>
    <t>B SOC GEOL FR</t>
  </si>
  <si>
    <t>Bull. Soc. Geol. Fr.</t>
  </si>
  <si>
    <t>Geosciences, Multidisciplinary</t>
  </si>
  <si>
    <t>Geology</t>
  </si>
  <si>
    <t>201PR</t>
  </si>
  <si>
    <t>WOS:000080604500006</t>
  </si>
  <si>
    <t>Lee, W; Huys, R</t>
  </si>
  <si>
    <t>Bathylaophonte gen. nov from deep-sea hydrothermal vents and the polyphyly of Paronychocamptus (Copepoda: Harpacticoida)</t>
  </si>
  <si>
    <t>CAHIERS DE BIOLOGIE MARINE</t>
  </si>
  <si>
    <t>taxonomy; Copepoda; Bathylaophonte gen. nov.; Pontophonte gen. nov.; Heteronychocamptus gen. nov; Paronychocamptus; Onychocamptus; hydrothermal vents</t>
  </si>
  <si>
    <t>ANTARCTIC WEDDELL SEA; LAOPHONTIDAE COPEPODA</t>
  </si>
  <si>
    <t>Two new species of laophontid harpacticoids are described from deep-sea hydrothermal vents near the Azores in the Atlantic and north of Easter Island in the Pacific. Both species are placed in a new genus Bathylaophonte on account of the complex dorsal reticulation pattern on the cephalothorax and free body somites, the distinctive sexual dimorphism on both rami of P2-P4, and the relatively pl primitive setal formula of the swimming legs. The northwest European Laophonte faroensis, currently considered as species incerta in the family (Lang, 1948), is removed from its doubtful status and transferred to Bathylaophonte. The genus Paronychocamptus is identified as a polyphyletic taxon, comprising five lineages. Under the revised concept the genus is exclusively boreal. including only two European species, P. curticaudatus and P. nanus, and two North American species, P, huntsmani and P. wilsoni. The other species P. exiguus, P. leuke, P. proprius, P. connexus and P. anomalus are reallocated to Onychocamptus Daday and three new genera. Paronychocamptus is tentatively regarded as the most likely sistergroup of Bathylaophonte. The brackish water species P. anomalus from Andhra Pradesh (India) is transferred to the genus Onychocamptus. O. besnardi from Brazil and O. vitiospinulosa from China are removed from the synonymy of O. mohammed and reinstated as valid species. The primitive position of the genus and its relationship with Folioquinpes are discussed. P. proprius from California, is placed in a new genus Psammoplatypus together with Klieonychocamptus discipes which occupied an isolated position in the genus Klieonychocamptus. Psammoplatypus is placed in the genus group comprising Coullia, Phycolaophonte, Hemilaophonte and Robustunguis. The exiguus-group of Paronychocamptus, including P. exiguus from the Chatham Islands and P. connexus ls from Tierra del Fuego, is upgraded to generic level as Heteronychocamptus gen. nov. It is considered as most closely related to Pilifera, Pseudonychocamptus and Weddellaophonte on the basis of the sexually dimorphic setation of P3-P4 enp-1. There is an undeniable relationship between P. leuke and the species described by Griga (1963) as Laophonte brevifurca. Both species (the latter renamed P. grigae sp. nov.) are placed in a new genus Pontophonte which is most closely related to the newly defined nordgaardi-group of Laophonte. Species keys are given for Paronychocamptus, Onychocamptus and Bathylaophonte gen. nov. The radiation of the family Laophontidae into deepwater habitats is reviewed. Re-examination of previous reports of 8-segmented antennules in female Laophontidae has proven these to be incorrect.</t>
  </si>
  <si>
    <t>Nat Hist Museum, Dept Zool, London SW7 5BD, England</t>
  </si>
  <si>
    <t>Natural History Museum London</t>
  </si>
  <si>
    <t>Lee, W (corresponding author), Nat Hist Museum, Dept Zool, Cromwell Rd, London SW7 5BD, England.</t>
  </si>
  <si>
    <t>Lee, Wonchoel/L-9822-2018</t>
  </si>
  <si>
    <t>Lee, Wonchoel/0000-0002-9873-1033</t>
  </si>
  <si>
    <t>ROSCOFF</t>
  </si>
  <si>
    <t>STATION BIOLOGIQUE PLACE GEORGES TEISSIER, 29680 ROSCOFF, FRANCE</t>
  </si>
  <si>
    <t>0007-9723</t>
  </si>
  <si>
    <t>CAH BIOL MAR</t>
  </si>
  <si>
    <t>Cah. Biol. Mar.</t>
  </si>
  <si>
    <t>Marine &amp; Freshwater Biology</t>
  </si>
  <si>
    <t>280HE</t>
  </si>
  <si>
    <t>WOS:000085095600002</t>
  </si>
  <si>
    <t>S</t>
  </si>
  <si>
    <t>Srivastava, SK; Hawkins, RK; Lukowski, TI; Banik, BT; Adamovic, M; Jefferies, WC</t>
  </si>
  <si>
    <t>Tsuchiya, K</t>
  </si>
  <si>
    <t>RADARSAT image quality and calibration - Update</t>
  </si>
  <si>
    <t>CALIBRATION AND CHARACTERIZATION OF SATELLITE SENSORS</t>
  </si>
  <si>
    <t>ADVANCES IN SPACE RESEARCH</t>
  </si>
  <si>
    <t>A0 2 Symposium of COSPAR Scientific Commission A on Calibration and Characterization of Satellite Sensors, at the 32nd COSPAR Scientific Assembly</t>
  </si>
  <si>
    <t>JUL 12-19, 1998</t>
  </si>
  <si>
    <t>NAGOYA, JAPAN</t>
  </si>
  <si>
    <t>This paper reviews image quality and radiometric calibration aspects of the first two years of operation of RADARSAT. This includes the calibration of almost all beams (a total of more than 25 beams when considering shifted positions of each of the Fine beams), and the stability and calibration accuracies achieved during the mission to date. The measurements show that the SAR performance is better than the specifications. In September 1997, RADARSAT underwent a major configuration change to accommodate the Antarctic Mapping Mission for a period of about five weeks. To achieve this, the spacecraft was rotated to allow imaging from a left-looking geometry. The image quality and calibration results for the left-looking mode are also discussed. (C) 1999 COSPAR. Published by Elsevier Science Ltd.</t>
  </si>
  <si>
    <t>Canadian Space Agcy, St Hubert, PQ J3Y 8Y9, Canada; Canada Ctr Remote Sensing, Ottawa, ON K1A 0Y7, Canada; RADARSAT Int, Cantley, PQ J8V 2Y8, Canada</t>
  </si>
  <si>
    <t>Canadian Space Agency; Natural Resources Canada; Strategic Policy &amp; Results Sector - Natural Resources Canada; Canada Centre for Mapping &amp; Earth Observation (CCMEO)</t>
  </si>
  <si>
    <t>Srivastava, SK (corresponding author), Canadian Space Agcy, 6767 Route Aeroport, St Hubert, PQ J3Y 8Y9, Canada.</t>
  </si>
  <si>
    <t>PERGAMON PRESS LTD</t>
  </si>
  <si>
    <t>OXFORD</t>
  </si>
  <si>
    <t>THE BOULEVARD LANGFORD LANE KIDLINGTON, OXFORD OX5 1GB, ENGLAND</t>
  </si>
  <si>
    <t>0273-1177</t>
  </si>
  <si>
    <t>ADV SPACE RES</t>
  </si>
  <si>
    <t>10.1016/S0273-1177(99)00302-6</t>
  </si>
  <si>
    <t>Engineering, Aerospace; Astronomy &amp; Astrophysics; Geosciences, Multidisciplinary; Meteorology &amp; Atmospheric Sciences; Remote Sensing</t>
  </si>
  <si>
    <t>Conference Proceedings Citation Index - Science (CPCI-S); Science Citation Index Expanded (SCI-EXPANDED)</t>
  </si>
  <si>
    <t>Engineering; Astronomy &amp; Astrophysics; Geology; Meteorology &amp; Atmospheric Sciences; Remote Sensing</t>
  </si>
  <si>
    <t>BN57L</t>
  </si>
  <si>
    <t>WOS:000082288400021</t>
  </si>
  <si>
    <t>Williams, J; Kipple, A; Martyn, P</t>
  </si>
  <si>
    <t>Calibration of data from the first RADARSAT-1 Antarctic Mapping Mission</t>
  </si>
  <si>
    <t>In September 1997 the Canadian spacecraft RADARSAT-1 maneuvered from a right-looking to a left-looking mode. In the subsequent 24 days approximately 22.5 hours of Synthetic Aperture Radar (SAR) data were acquired in an effort to create the world's first complete high-resolution radar map of Antarctica. This paper presents the calibration strategy employed for the Antarctic Mapping Mission (AMM) and summarizes the data collected. Preliminary calibration results show that the science requirements for the data set are being met. (C) 1999 COSPAR. Published by Elsevier Science Ltd.</t>
  </si>
  <si>
    <t>Univ Alaska Fairbanks, Alaska SAR Facil, Fairbanks, AK 99775 USA</t>
  </si>
  <si>
    <t>University of Alaska System; University of Alaska Fairbanks</t>
  </si>
  <si>
    <t>Williams, J (corresponding author), Univ Alaska Fairbanks, Alaska SAR Facil, POB 757320, Fairbanks, AK 99775 USA.</t>
  </si>
  <si>
    <t>10.1016/S0273-1177(99)00303-8</t>
  </si>
  <si>
    <t>WOS:000082288400022</t>
  </si>
  <si>
    <t>Lesage, V; Hammill, MO; Kovacs, KM</t>
  </si>
  <si>
    <t>Functional classification of harbor seal (Phoca vitulina) dives using depth profiles, swimming velocity, and an index of foraging success</t>
  </si>
  <si>
    <t>CANADIAN JOURNAL OF ZOOLOGY-REVUE CANADIENNE DE ZOOLOGIE</t>
  </si>
  <si>
    <t>ANTARCTIC FUR SEALS; NORTHERN ELEPHANT SEALS; DIVING BEHAVIOR; MIROUNGA-ANGUSTIROSTRIS; HALICHOERUS-GRYPUS; PYGOSCELIS-PAPUA; GRAY SEALS; TEMPERATURE; PENGUINS; CYCLE</t>
  </si>
  <si>
    <t>Time-depth-speed recorders and stomach-temperature sensors were deployed on 11 harbor seals (Phoca vitulina) in the St. Lawrence estuary to examine their diving and foraging behavior. Fifty-four percent of dives were to depths of;&lt;4 m. Dives that were greater than or equal to 4 m deep were classified into five distinct types, using a combination of principal components analysis and hierarchical and nonhierarchical clustering analyses. Feeding, indicated by a sharp decline in stomach temperature, occurred during dives of all five types, four of which were U-shaped, while one was V-shaped. Seals swam at speeds near the minimum cost of transport (MCT) during descents and ascents. V-shaped dives had mean depths of 5.8 m, lasted an average of 40 s, and often preceded or followed periods of shallow-water (&lt;4 m) activity. Seals invariably dove to the bottom when performing U-shaped dives. These dives were to an average depth of 20 m during daylight and occurred in shallower waters (similar to 8 m) at twilight and during the night. Once on the bottom, seals (i) swam at MCT speeds with occasional bursts of speed, (ii) swam at speeds near MCT but not exceeding it, or (iii) remained stationary or swam slowly at about 0.15 m/s, occasionally swimming faster It is unlikely that all dives to depths greater than or equal to 4 m are dedicated to foraging. However, the temporal segregation of dive types suggests that all types are used during foraging, although they may represent different strategies.</t>
  </si>
  <si>
    <t>Fisheries &amp; Oceans Canada, Maurice Lamontagne Inst, Mont Joli, PQ G5H 3Z4, Canada; Univ Waterloo, Dept Biol, Waterloo, ON N2L 3G1, Canada; Univ Courses Svalbard, Dept Biol, N-9170 Longyearbyen, Svalbard, Norway</t>
  </si>
  <si>
    <t>Fisheries &amp; Oceans Canada; University of Waterloo</t>
  </si>
  <si>
    <t>Lesage, V (corresponding author), Fisheries &amp; Oceans Canada, Maurice Lamontagne Inst, POB 1000, Mont Joli, PQ G5H 3Z4, Canada.</t>
  </si>
  <si>
    <t>Lesage, Veronique/ABE-2682-2020</t>
  </si>
  <si>
    <t>CANADIAN SCIENCE PUBLISHING, NRC RESEARCH PRESS</t>
  </si>
  <si>
    <t>OTTAWA</t>
  </si>
  <si>
    <t>1200 MONTREAL ROAD, BUILDING M-55, OTTAWA, ON K1A 0R6, CANADA</t>
  </si>
  <si>
    <t>0008-4301</t>
  </si>
  <si>
    <t>CAN J ZOOL</t>
  </si>
  <si>
    <t>Can. J. Zool.-Rev. Can. Zool.</t>
  </si>
  <si>
    <t>10.1139/z98-199</t>
  </si>
  <si>
    <t>219GD</t>
  </si>
  <si>
    <t>WOS:000081598800011</t>
  </si>
  <si>
    <t>Modig, C; Olsson, PE; Barasoain, I; de Ines, C; Andreu, JM; Roach, MC; Ludueña, RF; Wallin, M</t>
  </si>
  <si>
    <t>Identification of βIII- and βIV-tubulin isotypes in cold-adapted microtubules from Atlantic cod (Gadus morhua):: Antibody mapping and cDNA sequencing</t>
  </si>
  <si>
    <t>CELL MOTILITY AND THE CYTOSKELETON</t>
  </si>
  <si>
    <t>alpha-tubulin; posttranslational modifications; tubulin phosphorylation; fish</t>
  </si>
  <si>
    <t>BETA-TUBULIN GENE; CILIATE EUPLOTES FOCARDII; MONOCLONAL-ANTIBODY; BRAIN MICROTUBULES; ANTARCTIC FISHES; IN-VITRO; POSTTRANSLATIONAL MODIFICATIONS; DYNAMIC INSTABILITY; LOW-TEMPERATURES; CULTURED-CELLS</t>
  </si>
  <si>
    <t>Isolated microtubule proteins from the Atlantic cod (Gadus morhua) assemble at temperatures between 8 and 30 degrees C. The cold-adaptation is an intrinsic property of the tubulin molecules, but the reason for it is unknown. To increase our knowledge of tubulin diversity and its role in cold-adaptation we have further characterized cod tubulins using alpha- and beta-tubulin site-directed antibodies and antibodies towards posttranslationally modified tubulin. In addition, one cod brain beta-tubulin isotype has been sequenced. In mammals there are five beta-tubulins (beta(I), beta(II), beta(III), beta(IVa) and beta(IVb)) expressed in brain. A cod beta(III)-tubulin was identified by its electrophoretic mobility after reduction and carboxymethylation. The beta(III)-like tubulin accounted for more than 30% of total brain beta-tubulins, the highest yield yet observed in any animal. This tubulin corresponds most probably with an additional band, designated beta(x), which was found between alpha- and beta-tubulins on SDS-polyacrylamide gels. It was found to be phosphorylated and neurospecific, and constituted about 30% of total cod beta-tubulin isoforms. The sequenced cod tubulin was identified as a beta(IV)-tubulin, and a beta(IV)-isotype was stained by a C-terminal specific antibody. The amount of staining indicates that this isotype, as in mammals, only accounts for a minor part of the total brain beta-tubulin. Based on the estimated amounts of beta(III)- and beta(IV)-tubulins in cod brain, our results indicate that cod has at least one additional beta-tubulin isotype and that beta-tubulin diversity evolved early during fish evolution. The sequenced cod beta(IV)-tubulin had four unique amino acid substitutions when compared to beta-tubulin sequences from other animals, while one substitution was in common with Antarctic rockcod beta-tubulin. Residues 221, Thr to Ser, and 283, Ala to Ser, correspond in the bovine tubulin dimer structure to loops that most probably interact with other tubulin molecules within the microtubule, and might contribute to cold-adaptation of microtubules. Cell Motil. Cytoskeleton 42:315-330, 1999. (C) 1999Wiley-Liss,Inc.</t>
  </si>
  <si>
    <t>Univ Gothenburg, Dept Zool Zoophysiol, SE-40530 Gothenburg, Sweden; Umea Univ, Dept Cellular &amp; Dev Biol, Umea, Sweden; CSIC, Ctr Invest Biol, Madrid, Spain; Univ Texas, Hlth Sci Ctr, San Antonio, TX USA</t>
  </si>
  <si>
    <t>University of Gothenburg; Umea University; Consejo Superior de Investigaciones Cientificas (CSIC); CSIC - Centro de Investigaciones Biologicas (CIB); University of Texas System; University of Texas Health Science Center at San Antonio</t>
  </si>
  <si>
    <t>Modig, C (corresponding author), Univ Gothenburg, Dept Zool Zoophysiol, Box 463, SE-40530 Gothenburg, Sweden.</t>
  </si>
  <si>
    <t>Andreu, Jose M/0000-0001-8064-6933; Olsson, Per-Erik/0000-0001-7336-6335</t>
  </si>
  <si>
    <t>NCI NIH HHS [CA26376] Funding Source: Medline</t>
  </si>
  <si>
    <t>NCI NIH HHS(United States Department of Health &amp; Human ServicesNational Institutes of Health (NIH) - USANIH National Cancer Institute (NCI))</t>
  </si>
  <si>
    <t>WILEY-LISS</t>
  </si>
  <si>
    <t>NEW YORK</t>
  </si>
  <si>
    <t>DIV JOHN WILEY &amp; SONS INC, 605 THIRD AVE, NEW YORK, NY 10158-0012 USA</t>
  </si>
  <si>
    <t>0886-1544</t>
  </si>
  <si>
    <t>CELL MOTIL CYTOSKEL</t>
  </si>
  <si>
    <t>Cell Motil. Cytoskeleton</t>
  </si>
  <si>
    <t>10.1002/(SICI)1097-0169(1999)42:4&lt;315::AID-CM5&gt;3.0.CO;2-C</t>
  </si>
  <si>
    <t>Cell Biology</t>
  </si>
  <si>
    <t>185DR</t>
  </si>
  <si>
    <t>WOS:000079653300005</t>
  </si>
  <si>
    <t>Liu, RY; Zhu, YQ</t>
  </si>
  <si>
    <t>Ionospheric drift properties and its response to the IMF conditions at Zhongshan Station, Antarctica</t>
  </si>
  <si>
    <t>CHINESE JOURNAL OF GEOPHYSICS-CHINESE EDITION</t>
  </si>
  <si>
    <t>Chinese</t>
  </si>
  <si>
    <t>ionosphere; drift; interplanetary magnetic field; Zhongshan Station</t>
  </si>
  <si>
    <t>INTERPLANETARY MAGNETIC-FIELD; F-REGION CONVECTION; ELECTRIC-FIELD; RADAR; DIRECTION; DIGISONDE</t>
  </si>
  <si>
    <t>The ionospheric drift observations obtained by the Digisonde Potable Sounder (DPS-4) at the Chinese Antarctic Station Zhongshan in 1995 are investigated. The statistical analysis reveals main features of the ionospheric drift. The ionospheric movements in cusp region latitude are mainly horizontal, and show an averaged diurnal variation pattern. The ionosphere drifts are towards magnetic south pole around local noon and away from it at night which coincides with the antisunward convection pattern. Date analysis shows that the convection pattern is largely controlled by the azimuth component of IMF B-y. When B-y &lt; 0, the horizontal velocities at CGLT zero o'clock incline to the west and the entrance points towards the south are located between CGLT 7 and 8 o'clock. When B-y &gt; 0, the horizontal velocities at CGLT zero o'clock incline to the east and the entrance points are located between CGLT 9 to 10 o'clock. The convection patterns in the southern hemisphere are basically the mirror images of those in the northern hemisphere.</t>
  </si>
  <si>
    <t>Polar Res Inst China, Shanghai 200129, Peoples R China; Wuhan Univ, Dept Space Phys, Wuhan 430072, Peoples R China</t>
  </si>
  <si>
    <t>Polar Research Institute of China; Wuhan University</t>
  </si>
  <si>
    <t>Liu, RY (corresponding author), Polar Res Inst China, Shanghai 200129, Peoples R China.</t>
  </si>
  <si>
    <t>SCIENCE PRESS</t>
  </si>
  <si>
    <t>BEIJING</t>
  </si>
  <si>
    <t>16 DONGHUANGCHENGGEN NORTH ST, BEIJING 100717, PEOPLES R CHINA</t>
  </si>
  <si>
    <t>0001-5733</t>
  </si>
  <si>
    <t>CHINESE J GEOPHYS-CH</t>
  </si>
  <si>
    <t>Chinese J. Geophys.-Chinese Ed.</t>
  </si>
  <si>
    <t>Geochemistry &amp; Geophysics</t>
  </si>
  <si>
    <t>247LZ</t>
  </si>
  <si>
    <t>WOS:000083223400004</t>
  </si>
  <si>
    <t>Rand, J; Brier, F</t>
  </si>
  <si>
    <t>Zufelt, JE</t>
  </si>
  <si>
    <t>South Pole Station Redevelopment Project</t>
  </si>
  <si>
    <t>COLD REGIONS ENGINEERING: PUTTING RESEARCH INTO PRACTICE</t>
  </si>
  <si>
    <t>10th International Conference on Cold Regions Engineering - Putting Research into Practice</t>
  </si>
  <si>
    <t>AUG 16-19, 1999</t>
  </si>
  <si>
    <t>LINCOLN, NH</t>
  </si>
  <si>
    <t>The National Science Foundation (NSF) Office of Polar Programs (OPP), the lead agency for the U.S. Antarctic Program, has completed the design and started construction of a replacement station at the geographic South Pole, Antarctica. This paper provides a historical review of the concept development, design process, and project management procedures for the South Pole Redevelopment Project (SPRP).</t>
  </si>
  <si>
    <t>USA, Cold Reg Res &amp; Engn Lab, Hanover, NH 03755 USA</t>
  </si>
  <si>
    <t>United States Department of Defense; United States Army; U.S. Army Corps of Engineers; U.S. Army Engineer Research &amp; Development Center (ERDC); Cold Regions Research &amp; Engineering Laboratory (CRREL)</t>
  </si>
  <si>
    <t>Rand, J (corresponding author), USA, Cold Reg Res &amp; Engn Lab, 72 Lyme Rd, Hanover, NH 03755 USA.</t>
  </si>
  <si>
    <t>AMER SOC CIVIL ENGINEERS</t>
  </si>
  <si>
    <t>UNITED ENGINEERING CENTER, 345 E 47TH ST, NEW YORK, NY 10017-2398 USA</t>
  </si>
  <si>
    <t>0-7844-0451-8</t>
  </si>
  <si>
    <t>Engineering, Civil</t>
  </si>
  <si>
    <t>Engineering</t>
  </si>
  <si>
    <t>BP85S</t>
  </si>
  <si>
    <t>WOS:000086435800001</t>
  </si>
  <si>
    <t>Blaisdell, GL</t>
  </si>
  <si>
    <t>Comparison of delivery scenarios for a long Antarctic traverse</t>
  </si>
  <si>
    <t>A recently completed interdisciplinary study assessed the feasibility of a 1600 km oversnow trail connecting McMurdo Station, Antarctica, to Amundsen-Scott South Pole Station. Aircraft (specialized ski-wheel Hercules or airdrop) are currently the only means of delivering large volumes of materials to the South Pole. In addition to personnel and their needs (food, scientific equipment, etc.), more than 1.1M liters of fuel are needed annually and 1.1M kg of construction supplies for station modernization are required annually for the next eight years. This airlift seriously taxes the current US Antarctic Program's air resources during the 100-day South Pole flight season and constitutes a significant expense. Preliminary calculations suggested that an oversnow transportation system could provide considerable lifecycle cost savings. Results are reported elsewhere of the field study to determine feasible candidate routes and what driving conditions are likely to be encountered. This paper describes a) the process of determining the appropriate vehicle(s) for such a long, unsupported traverse, b) comparison of the two best candidate routes, and c) calculations of round-trip travel time, consumed fuel and deliverable payload. The latter statistics are compared to the current air delivery system and show the traverse to be twice as efficient, if speed of delivery isn't required.</t>
  </si>
  <si>
    <t>Blaisdell, GL (corresponding author), USA, Cold Reg Res &amp; Engn Lab, 72 Lyme Rd, Hanover, NH 03755 USA.</t>
  </si>
  <si>
    <t>WOS:000086435800010</t>
  </si>
  <si>
    <t>Kumin, JP</t>
  </si>
  <si>
    <t>South Pole fuel storage: General arrangement issues</t>
  </si>
  <si>
    <t>The United States has maintained occupied facilities at the geographic South Pole, known as Amundsen-Scott (South Pole) Station, for over 40 years. Over time the installation has been periodically up-graded in response to factors such as increased science needs, and to meet the demands of the exceptional climatic conditions. The Antarctic Polar Plateau is the most extreme inhabited cold region environment in the world The station is about 2,835 m (9,355 feet) above sea level. Summertime temperatures average -28 degrees C (-18 degrees F) with an annual mean temperature of -49 degrees C (56 degrees F) with winter extremes to -83 degrees C (-117 degrees F). The station is only accessible for about three and one half months during the austral summer, from roughly early November to mid February.</t>
  </si>
  <si>
    <t>Kumin Associates Inc Architects &amp; Planners, Anchorage, AK 99501 USA</t>
  </si>
  <si>
    <t>Kumin, JP (corresponding author), Kumin Associates Inc Architects &amp; Planners, 808 E St, Anchorage, AK 99501 USA.</t>
  </si>
  <si>
    <t>WOS:000086435800012</t>
  </si>
  <si>
    <t>Armstrong, RS</t>
  </si>
  <si>
    <t>Fuel storage system replacement, US South Pole Station</t>
  </si>
  <si>
    <t>The Amundsen-Scott Station is located on the Antarctic Polar Plateau at the geographic South Pole. This location poses one of the most extreme cold regions environments in the world. The field location is 2,835 m (9,355 feet) above sea level. Average summertime temperatures are approximately -28 degrees C (-18 degrees F) and average wintertime temperatures are -49 degrees C (-56 degrees F) with extremes ranging from -14 degrees C(+7 degrees F) to -83 degrees C (-117 degrees F).</t>
  </si>
  <si>
    <t>RSA Engn Inc, Anchorage, AK 99503 USA</t>
  </si>
  <si>
    <t>Armstrong, RS (corresponding author), RSA Engn Inc, 2522 Arctic Blvd,Suite 200, Anchorage, AK 99503 USA.</t>
  </si>
  <si>
    <t>WOS:000086435800013</t>
  </si>
  <si>
    <t>Norton, G; Linton, E; Rand, J; Williams, C</t>
  </si>
  <si>
    <t>Renewable energy field tests at the South Pole</t>
  </si>
  <si>
    <t>The United States operates the Amundsen-Scott South Pole Station for scientific research. Due to the high costs, logistical constraints, and environmental risks of transporting large quantities of diesel fuel to the Antarctic interior, the National Science Foundation (NSF) has supported practical investigations into the use of wind and solar energy to reduce the amount of fuel needed to meet the power requirements of the station.</t>
  </si>
  <si>
    <t>No Power Syst, Waitsfield, VT 05673 USA</t>
  </si>
  <si>
    <t>Norton, G (corresponding author), No Power Syst, Box 999, Waitsfield, VT 05673 USA.</t>
  </si>
  <si>
    <t>WOS:000086435800014</t>
  </si>
  <si>
    <t>Cantero, ALP; Marques, AC</t>
  </si>
  <si>
    <t>Phylogenetic analysis of the Antarctic genus Oswaldella Stechow 1919 (Hydrozoa, Leptomedusae, Kirchenpaueriidae)</t>
  </si>
  <si>
    <t>CONTRIBUTIONS TO ZOOLOGY</t>
  </si>
  <si>
    <t>hydrozoa; Kirchenpaueriidae; Oswaldella; Antarctica; systematics; cladistics</t>
  </si>
  <si>
    <t>LIFE-CYCLE; CNIDARIA</t>
  </si>
  <si>
    <t>A cladistic study was carried out on known species of the characteristically Antarctic genus Oswaldella(, adopting as outgroups some other genera included in the family Kirchenpaueriidae. The analysis resulted in a cladogram with low CI in which no relationship between genera can be depicted. However, the hypothesis of monophyly of the genus Oswaldella is corroborated, being supported in our cladogram by five synapomorphies (although all are homoplastic with other taxa or reversed within the species of the genus). The basal relationships of the genus are uncertain, but three species groups are distinguishable within Oswaldella: 1)the O. incognita group, 2) the O. antarctica group, and 3) a clade formed by (O. garciacarrascosai, O. elongata (O, blanconae (O, gracilis (O. herwigi, Oswaldella sp. two)))).</t>
  </si>
  <si>
    <t>Univ Valencia, Fac Ciencias Biol, Dept Biol Anim, E-46100 Burjassot, Valencia, Spain; Univ Sao Paulo, Fac Filosofia Ciencias &amp; Letras Ribeirao Pret, Dept Biol, BR-14040901 Ribeirao Preto, SP, Brazil</t>
  </si>
  <si>
    <t>University of Valencia; Universidade de Sao Paulo</t>
  </si>
  <si>
    <t>Cantero, ALP (corresponding author), Univ Valencia, Fac Ciencias Biol, Dept Biol Anim, Dr Moliner 50, E-46100 Burjassot, Valencia, Spain.</t>
  </si>
  <si>
    <t>Marques, Antonio/E-8049-2011; Cantero, Álvaro Luis Peña/F-7888-2016</t>
  </si>
  <si>
    <t>Marques, Antonio/0000-0002-2884-0541; Pena Cantero, Alvaro/0000-0003-3056-6673</t>
  </si>
  <si>
    <t>S P B ACADEMIC PUBLISHING BV</t>
  </si>
  <si>
    <t>LELYSTAD</t>
  </si>
  <si>
    <t>PLATINASTRAAT 33, 8211 AR LELYSTAD, NETHERLANDS</t>
  </si>
  <si>
    <t>0067-8546</t>
  </si>
  <si>
    <t>CONTRIB ZOOL</t>
  </si>
  <si>
    <t>Contrib. Zool.</t>
  </si>
  <si>
    <t>200BN</t>
  </si>
  <si>
    <t>WOS:000080519300002</t>
  </si>
  <si>
    <t>Ochyra, R; Lewis-Smith, RI</t>
  </si>
  <si>
    <t>Meesia uliginosa Hedw. (Musci, Meesiaceae) in Antarctica</t>
  </si>
  <si>
    <t>CRYPTOGAMIE BRYOLOGIE</t>
  </si>
  <si>
    <t>Musci; Meesiaceae; Meesia uliginosa; Ceratodon; Antarctica; taxonomy; bryogeography</t>
  </si>
  <si>
    <t>Meesia uliginosa Hedw. and the family Meesiaceae are recorded for the first time in the Antarctic. The species is occasional on Joinville and James Ross Islands near the Trinity Peninsula, on Signy Island in the South Orkney Islands and on Livingston and Robert Islands in the South Shetland Islands, whereas on King George Island, in the latter archipelago, it is locally frequent. The Antarctic plants are briefly described and illustrated and the local distribution of the species on King George Island and in the maritime Antarctic is mapped. The ecological requirements of M. uliginosa in Antarctica are described in detail and the global geographical distribution of the species is reviewed. Ceratodon kinggeorgicus Kanda, a species originally described from King George Island, is considered to be conspecific with M. uliginosa. (C) ADAC / Elsevier, Paris.</t>
  </si>
  <si>
    <t>Polish Acad Sci, Inst Bot, Lab Bryol, PL-31512 Krakow, Poland; British Antarctic Survey, NERC, Cambridge CB3 0ET, England</t>
  </si>
  <si>
    <t>Polish Academy of Sciences; UK Research &amp; Innovation (UKRI); Natural Environment Research Council (NERC); NERC British Antarctic Survey</t>
  </si>
  <si>
    <t>Ochyra, R (corresponding author), Polish Acad Sci, Inst Bot, Lab Bryol, Ul Lubicz 46, PL-31512 Krakow, Poland.</t>
  </si>
  <si>
    <t>Ochyra, Ryszard/0000-0002-2541-0722</t>
  </si>
  <si>
    <t>EDITIONS SCIENTIFIQUES MEDICALES ELSEVIER</t>
  </si>
  <si>
    <t>PARIS CEDEX 15</t>
  </si>
  <si>
    <t>23 RUE LINOIS, 75724 PARIS CEDEX 15, FRANCE</t>
  </si>
  <si>
    <t>1290-0796</t>
  </si>
  <si>
    <t>CRYPTOGAM BRYOL</t>
  </si>
  <si>
    <t>Cryptogam. Bryol.</t>
  </si>
  <si>
    <t>10.1016/S1290-0796(99)80002-9</t>
  </si>
  <si>
    <t>Plant Sciences</t>
  </si>
  <si>
    <t>200FV</t>
  </si>
  <si>
    <t>WOS:000080529700001</t>
  </si>
  <si>
    <t>Shukla, SP; Kashyap, AK</t>
  </si>
  <si>
    <t>The thermal responses and activation energy of PSII, nitrate uptake and nitrate reductase activities of two geographically different isolates of Anabaena</t>
  </si>
  <si>
    <t>CYTOBIOS</t>
  </si>
  <si>
    <t>activation energy; Anabaena; Antarctica; nitrate uptake/reduction</t>
  </si>
  <si>
    <t>AMMONIUM TRANSPORT; TEMPERATURE</t>
  </si>
  <si>
    <t>In order to ascertain whether or not two isolates of Anabaena sp of antarctic and tropical origin differed in their energetic requirements the photosystem II (PSII), nitrate uptake and nitrate reductase activities were analysed. Previously the unialgal, axenic populations of antarctic and tropical isolates of a diazotrophic cyanobacterium Anabaena sp were exposed to 5-40 degrees C under simulated laboratory conditions. The responses differed considerably and optimum temperature and activation energy (E-a) were comparatively lower in the antarctic isolates. It is concluded that constant exposure to extremes of low temperatures in the antarctic environment may be a reason for the lower endergonic nature of such activities in the antarctic isolate. Lowered activation energies of PSII, nitrate uptake and nitrate reductase may be a part of the adaptation evolved by the antarctic strain to cope with freezing and subzero temperatures.</t>
  </si>
  <si>
    <t>Banaras Hindu Univ, Dept Bot, Algal Res Lab, Varanasi 221005, Uttar Pradesh, India</t>
  </si>
  <si>
    <t>Banaras Hindu University (BHU)</t>
  </si>
  <si>
    <t>Shukla, SP (corresponding author), Banaras Hindu Univ, Dept Bot, Algal Res Lab, Varanasi 221005, Uttar Pradesh, India.</t>
  </si>
  <si>
    <t>FACULTY PRESS</t>
  </si>
  <si>
    <t>CAMBRIDGE</t>
  </si>
  <si>
    <t>88 REGENT ST, CAMBRIDGE, CAMBS, ENGLAND CB2 1DP</t>
  </si>
  <si>
    <t>0011-4529</t>
  </si>
  <si>
    <t>Cytobios</t>
  </si>
  <si>
    <t>264CV</t>
  </si>
  <si>
    <t>WOS:000084163500001</t>
  </si>
  <si>
    <t>Ozouf-Costaz, C; Pisano, E; Bonillo, C; Hureau, JC</t>
  </si>
  <si>
    <t>Large-scale chromosome studies of an unusual fauna within a confined area: antarctic fish suborder notothenioidei</t>
  </si>
  <si>
    <t>CYTOGENETICS AND CELL GENETICS</t>
  </si>
  <si>
    <t>MNHN, CNRS FR 1541, Paris, France; MNHN, Lab Ichtyol, Paris, France; Univ Genoa, Inst Comparat Anat, Genoa, Italy</t>
  </si>
  <si>
    <t>Museum National d'Histoire Naturelle (MNHN); Centre National de la Recherche Scientifique (CNRS); Museum National d'Histoire Naturelle (MNHN); University of Genoa</t>
  </si>
  <si>
    <t>KARGER</t>
  </si>
  <si>
    <t>BASEL</t>
  </si>
  <si>
    <t>ALLSCHWILERSTRASSE 10, CH-4009 BASEL, SWITZERLAND</t>
  </si>
  <si>
    <t>0301-0171</t>
  </si>
  <si>
    <t>CYTOGENET CELL GENET</t>
  </si>
  <si>
    <t>Cytogenet. Cell Genet.</t>
  </si>
  <si>
    <t>1-2</t>
  </si>
  <si>
    <t>P379</t>
  </si>
  <si>
    <t>Cell Biology; Genetics &amp; Heredity</t>
  </si>
  <si>
    <t>214NW</t>
  </si>
  <si>
    <t>WOS:000081334900379</t>
  </si>
  <si>
    <t>Ruggieri, M; Bonifazi, C; Falzini, S; Saggese, E; Corbelli, F</t>
  </si>
  <si>
    <t>Gyenne, TD</t>
  </si>
  <si>
    <t>Scientific data collection from remote areas through the DAVID satellite 94 GHz experiment</t>
  </si>
  <si>
    <t>DASIA 99: DATA SYSTEMS IN AEROSPACE</t>
  </si>
  <si>
    <t>ESA SPECIAL PUBLICATIONS</t>
  </si>
  <si>
    <t>Data Systems in Aerospace Conference (DASIA 99)</t>
  </si>
  <si>
    <t>MAY 17-21, 1999</t>
  </si>
  <si>
    <t>LISBON, PORTUGAL</t>
  </si>
  <si>
    <t>The DAVID (DAta and VIdeo Distribution) mission is carried out in the frame of the Science Small Missions Program of the Italian Space Agency (ASI). The mission is aimed at the deployment of two scientific telecommunications experiments through a Low Earth Orbit (LEO) satellite. One of the experiments concerns the exchange of large amount of data and high definition images through a W-band user link and a Ka-band inter-satellite link between the LEO and the ARTEMIS satellite. The proposed architecture is able to allow for the first time the collection and distribution of large volumes of scientific data from the Antarctic region - and other extremely remote areas of the Earth - together with an interactive control of the various experiments carried out in those remote sites.</t>
  </si>
  <si>
    <t>Univ Roma Tor Vergata, DIE, I-00133 Rome, Italy</t>
  </si>
  <si>
    <t>University of Rome Tor Vergata</t>
  </si>
  <si>
    <t>Ruggieri, M (corresponding author), Univ Roma Tor Vergata, DIE, Via Tor Vergata, I-00133 Rome, Italy.</t>
  </si>
  <si>
    <t>EUROPEAN SPACE AGENCY</t>
  </si>
  <si>
    <t>8-10 RUE MARIO NIKIS, 75738 PARIS, FRANCE</t>
  </si>
  <si>
    <t>0379-6566</t>
  </si>
  <si>
    <t>92-9092-788-7</t>
  </si>
  <si>
    <t>ESA SP PUBL</t>
  </si>
  <si>
    <t>Engineering, Aerospace</t>
  </si>
  <si>
    <t>BN79N</t>
  </si>
  <si>
    <t>WOS:000082950600068</t>
  </si>
  <si>
    <t>Joyce, TM; Pickart, RS; Millard, RC</t>
  </si>
  <si>
    <t>Long-term hydrographic changes at 52 and 66°W in the North Atlantic Subtropical Gyre &amp; Caribbean</t>
  </si>
  <si>
    <t>DEEP-SEA RESEARCH PART II-TOPICAL STUDIES IN OCEANOGRAPHY</t>
  </si>
  <si>
    <t>STANDARD SEAWATER; BOUNDARY CURRENT; OCEAN; WATER; VENTILATION; VARIABILITY; TEMPERATURE; SALINITY; OXYGEN</t>
  </si>
  <si>
    <t>In July-September 1997 two hydrographic lines were done in the western N. Atlantic along longitudes of 52 and 66 degrees W as part of the WOCE one-time hydrographic survey of the oceans. Each of these two lines approximately repeated earlier ones done during the International Geophysical Year(s) (IGY) and the mid-1980s. Because of this repeated sampling, long-term hydrographic changes in the water masses can be examined. In this report, we focus on temperature and salinity changes within the subtropical gyre mainly between latitudes of 20 and 35 degrees N and compare our results to those presented by Bryden et al, (1996), who examined changes along a zonal line at 24 degrees N, most recently occupied in 1992. Since this most recent 24 degrees N section in 1992, substantial changes have occurred in the western part of the subtropical gyre at the depths of the Labrador Sea Water (LSW), In particular, we see clear evidence for colder, fresher Labrador Sea Water throughout the gyre on our two recent sections that was not yet present in 1992 at similar longitudes along 24 degrees N. At shallower depths inhabited by waters that are an admixture of Mediterranean (MW) and Antarctic Intermediate Waters (AAIW), our recent survey shows an increase in salinity, which can only be attributed to changes in water masses on potential temperature or neutral density surfaces. Furthermore, waters above the MW/AAIW layer and into the deeper part of the main pycnocline have continued to become saltier and warmer throughout the 40-year period spanned by our sections. These latter changes have been dominantly due to a vertical sinking of density surfaces as T/S changes in density surfaces are small!, brit depths of individual T/S horizons have increased with time. The net change since the IGY shows a mean temperature increase between 800 and 2500 m depth at a rate of 0.57 degrees C/century with a corresponding steric sea level rise of 1 mm/yr, and a net downward heave with small values near the top and bottom, and a maximum rate of -2.7 m/yr at 1800 m depth. Changes in the deep Caribbean indicate a warming since the IGY due to temperature increases of the inflowing source waters in the subtropical gyre at 1800m depth, but no significant change in the deep salinity. (C) 1999 Elsevier Science Ltd. All rights reserved.</t>
  </si>
  <si>
    <t>Woods Hole Oceanog Inst, Woods Hole, MA 02543 USA</t>
  </si>
  <si>
    <t>Woods Hole Oceanographic Institution</t>
  </si>
  <si>
    <t>Joyce, TM (corresponding author), Woods Hole Oceanog Inst, 360 Woods Hole Rd,Mail Stop 21, Woods Hole, MA 02543 USA.</t>
  </si>
  <si>
    <t>PERGAMON-ELSEVIER SCIENCE LTD</t>
  </si>
  <si>
    <t>THE BOULEVARD, LANGFORD LANE, KIDLINGTON, OXFORD OX5 1GB, ENGLAND</t>
  </si>
  <si>
    <t>0967-0645</t>
  </si>
  <si>
    <t>DEEP-SEA RES PT II</t>
  </si>
  <si>
    <t>Deep-Sea Res. Part II-Top. Stud. Oceanogr.</t>
  </si>
  <si>
    <t>10.1016/S0967-0645(98)00102-7</t>
  </si>
  <si>
    <t>Oceanography</t>
  </si>
  <si>
    <t>182AZ</t>
  </si>
  <si>
    <t>WOS:000079477500012</t>
  </si>
  <si>
    <t>Stramma, L; Schott, F</t>
  </si>
  <si>
    <t>The mean flow field of the tropical Atlantic Ocean</t>
  </si>
  <si>
    <t>ANTARCTIC INTERMEDIATE WATER; TOTAL GEOSTROPHIC CIRCULATION; UPPER-LAYER CIRCULATION; SOUTH-ATLANTIC; NORTH-ATLANTIC; GENERAL-CIRCULATION; VERTICAL STRUCTURE; SEASONAL-CHANGES; BRAZIL CURRENT; TRANSPORTS</t>
  </si>
  <si>
    <t>The mean horizontal flow field of the tropical Atlantic Ocean is described between 20 degrees N and 20 degrees S from observations and literature results for three layers of the upper ocean, Tropical Surface Water, Central Water, and Antarctic Intermediate Water. Compared to the subtropical gyres the tropical circulation shows several zonal current and countercurrent bands of smaller meridional and vertical extent. The wind-driven Ekman layer in the upper tens of meters of the ocean masks at some places the flow structure of the Tropical Surface Water layer as is the case for the Angola Gyre in the eastern tropical South Atlantic. Although there are regions with a strong seasonal cycle of the Tropical Surface Water circulation, such as the North Equatorial Countercurrent, large regions of the tropics do not show a significant seasonal cycle. In the Central Water layer below, the eastward North and South Equatorial undercurrents appear imbedded in the westward-flowing South Equatorial Current. The Antarcic Intermediate Water layer contains several zonal current bands south of 3 degrees N, but only weak flow exists north of 3 degrees N. The sparse available data suggest that the Equatorial Intermediate Current as well as the Southern and Northern Intermediate Countercurrents extend zonally across the entire equatorial basin. Due to the convergence of northern and southern water masses, the western tropical Atlantic north of the equator is an important site for the mixture of water masses, but more work is needed to better understand the role of the various zonal under- and countercurrents in cross-equatorial water mass transfer. (C) 1999 Elsevier Science Ltd. All rights reserved.</t>
  </si>
  <si>
    <t>Univ Kiel, Inst Meereskunde, D-24105 Kiel, Germany</t>
  </si>
  <si>
    <t>University of Kiel</t>
  </si>
  <si>
    <t>Stramma, L (corresponding author), Univ Kiel, Inst Meereskunde, Dusternbrooker Weg 20, D-24105 Kiel, Germany.</t>
  </si>
  <si>
    <t>Stramma, Lothar/0000-0003-1391-4808</t>
  </si>
  <si>
    <t>10.1016/S0967-0645(98)00109-X</t>
  </si>
  <si>
    <t>WOS:000079477500013</t>
  </si>
  <si>
    <t>Hogg, NG; Owens, WB</t>
  </si>
  <si>
    <t>Direct measurement of the deep circulation within the Brazil Basin</t>
  </si>
  <si>
    <t>NORTH-ATLANTIC; ABYSSAL OCEAN; BOTTOM WATER; VARIABILITY; TRANSPORT; FLOW</t>
  </si>
  <si>
    <t>In support of the Deep Basin Experiment, part of the World Ocean Circulation Experiment, a large number of neutrally buoyant floats were released within the Brazil Basin during the 1990s in an attempt to measure directly the circulation in the deep ocean interior. Three levels corresponding to the three major subthermocline water masses were selected, and results from the deeper two (North Atlantic Deep Water, NADW, and Antarctic Bottom Water, AABW) are described. At this writing processing of acquired tracking data is incomplete. Hence, this paper reports on the progress of the observational program and gives our initial conclusions. It appears that the flow in the deep Brazil Basin is unlike previous conjectures in which the circulation patterns can be characterized as being primarily meridional, both along the western boundary and in the interior. The existence of a deep western boundary current (DWBC) is quite clear in the float data at the NADW level, but less prominent in the AABW, and the interior flow is dominantly zonal with unexpectedly small, meridional space scales. Integral time scales are long, of order 20-30 days, and eddy kinetic energy levels are low, of order 1 cm(2)/s(2). In spite of the low energy levels a surprising number of our floats became caught up in vortices. A line of seamounts extending offshore near 20 degrees S, known as the Vitoria-Trindade Seamounts, interrupts the DWBCs and is the location for eddy formation and apparent flow away from the boundary into the interior. Although it has been speculated that this could feed a narrow zonal current of NADW (the Namib Col Current) our float trajectories suggest a return to the western boundary, rather than a continuation to the east. (C) 1999 Elsevier Science Ltd. All rights reserved.</t>
  </si>
  <si>
    <t>Woods Hole Oceanog Inst, Woods Hole, MA 02543 USA.</t>
  </si>
  <si>
    <t>nhogg@whoi.edu</t>
  </si>
  <si>
    <t>1879-0100</t>
  </si>
  <si>
    <t>10.1016/S0967-0645(98)00097-6</t>
  </si>
  <si>
    <t>WOS:000079477500015</t>
  </si>
  <si>
    <t>Boebel, O; Schmid, C; Zenk, W</t>
  </si>
  <si>
    <t>Kinematic elements of Antarctic Intermediate Water in the western South Atlantic</t>
  </si>
  <si>
    <t>LAGRANGIAN CIRCULATION EXPLORER; SOUTHWESTERN ATLANTIC; TROPICAL ATLANTIC; NORTH-ATLANTIC; OCEAN; MODEL; VARIABILITY; TRANSPORTS; FLOAT; EDDY</t>
  </si>
  <si>
    <t>The northward flowing Antarctic Intermediate Water (AAIW) is a major contributor to the large-scale meridional circulation of water masses in the Atlantic. Together with bottom and thermocline water, AAIW replaces North Atlantic Deep Water that penetrates into the South Atlantic from the North. On the northbound propagation of AAIW from its formation area in the south-western region of the Argentine Basin, the AAIW progresses through a complex spreading pattern at the base of the main thermocline. This paper presents trajectories of 75 subsurface floats, seeded at AAIW depth. The floats were acoustically tracked, covering a period from December 1992 to October 1996, Discussions of selected trajectories focus on mesoscale kinematic elements that contribute to the spreading of AAIW. In the equatorial region, intermittent westward and eastward currents were observed, suggesting a seasonal cycle of the AAIW flow direction. At tropical latitudes, just offshore the intermediate western boundary current, the southward advection of an anticyclonic eddy was observed between 5 degrees S and 11 degrees S. Farther offshore, the flow lacks an advective pattern and is governed by eddy diffusion. The westward subtropical gyre return current at about 28 degrees S shows considerable stability, with the mean kinetic energy to eddy kinetic energy ratio being around one. Farther south, the eastward deeper South Atlantic Current is dominated by large-scale meanders with particle velocities in excess of 60 cm s(-1). At the Brazil-Falkland Current Confluence Zone, a cyclonic eddy near 40 degrees S 50 degrees W seems to act as injector of freshly mixed AAIW into the subtropical gyre. In general, much of the mixing of the various blends of AAIW is due to the activity of mesoscale eddies, which frequently reoccupy similar positions. (C) 1999 Elsevier Science Ltd. All rights reserved.</t>
  </si>
  <si>
    <t>Univ Cape Town, Dept Oceanog, ZA-7700 Rondebosch, South Africa; Univ Kiel, Inst Meereskunde, D-24105 Kiel, Germany</t>
  </si>
  <si>
    <t>University of Cape Town; University of Kiel</t>
  </si>
  <si>
    <t>Boebel, O (corresponding author), Univ Cape Town, Dept Oceanog, ZA-7700 Rondebosch, South Africa.</t>
  </si>
  <si>
    <t>oboebel@physci.uct.ac.za</t>
  </si>
  <si>
    <t>Schmid, Claudia/D-5875-2013</t>
  </si>
  <si>
    <t>10.1016/S0967-0645(98)00104-0</t>
  </si>
  <si>
    <t>Green Submitted</t>
  </si>
  <si>
    <t>WOS:000079477500016</t>
  </si>
  <si>
    <t>You, YZ</t>
  </si>
  <si>
    <t>Dianeutral mixing, transformation and transport of Antarctic Intermediate Water in the South Atlantic Ocean</t>
  </si>
  <si>
    <t>MASS CONVERSION; THERMOCLINE; CIRCULATION; EXCHANGE; FLOW</t>
  </si>
  <si>
    <t>Recently obtained World Ocean Circulation Experiment (WOCE) sections combined with a specially prepared pre-WOCE South Atlantic data set are used to study the dianeutral (across neutral surface) mixing and transport achieving Antarctic Intermediate Water (AAIW) being transformed to be part of the North Atlantic Deep Water (NADW) return cell. Five neutral surfaces are mapped, encompassing the AAIW from 700 to 1100 db at the subtropical latitudes. Coherent and significant dianeutral upwelling is found in the western boundary near the Brazil coast north of the separation point (about 25 degrees S) between the anticyclonic subtropical and cyclonic south equatorial gyres. The magnitude of dianeutral upwelling transport is 10(-3) Sv (1 Sv = 10(6) m(3) s(-1)) for 1 degrees x 1 degrees square area. It is found that the AAIW sources from the southwestern South Atlantic and southwestern Indian Ocean do not rise significantly into the Benguela Current. Instead, they contribute to the NADW return formation by dianeutral upwelling into the South Equatorial Current. In other words, the AAIW sources cannot obtain enough heat/buoyancy to rise until they return to the western boundary region but north of the separation point. The basin-wide integration of dianeutral transport shows net upward transports, ranging from 0.25 to 0.6 Sv, across the lower and upper boundary of AAIW north of 40 degrees S. This suggests that the equatorward AAIW is a slow rising water on a basin average. Given one order of uncertainty in evaluating the along-neutral-surface and dianeutral diffusivities from the assumed values, K = 10(3) m(2) s(-1) and D = 10(-5) m(2) s(-1), the integrated dianeutral transport has an error band of about 10-20%. The relatively weak integrated dianeutral upwelling transport compared with AAIW in other oceans implies much stronger lateral advection of AAIW in the South Atlantic. Mapped Turner Angle in diagnosing the double-diffusion processes shows that the salty Central Water can flux salt down to the upper half of AAIW layer through salt-fingering. Therefore, the northward transition of AAIW can gain salt either through along-neutral-surface advection and diffusion or through salt fingering from the Central Water and heat through either along-neutral-surface advection and diffusion or dianeutral upwelling. Cabbeling and thermobaricity are found significant in the Antarctic frontal zone and contribute to dianeutral downwelling with velocity as high as - 1.5 x 10(-7) m s(-1). A schematic AAIW circulation in the South Atlantic emerges from this study. Derived results suggest that dianeutral mixing plays an essential role in transforming AAIW into NADW return formation. (C) 1999 Elsevier Science Ltd. All rights reserved.</t>
  </si>
  <si>
    <t>You, YZ (corresponding author), Univ Kiel, Inst Meereskunde, Dusternbrooker Weg 20, D-24105 Kiel, Germany.</t>
  </si>
  <si>
    <t>you@ifm.uni-kiel.de</t>
  </si>
  <si>
    <t>10.1016/S0967-0645(98)00111-8</t>
  </si>
  <si>
    <t>WOS:000079477500017</t>
  </si>
  <si>
    <t>Arhan, M; Heywood, KJ; King, BA</t>
  </si>
  <si>
    <t>The deep waters from the Southern Ocean at the entry to the Argentine Basin</t>
  </si>
  <si>
    <t>ANTARCTIC CIRCUMPOLAR CURRENT; SOUTHWESTERN ATLANTIC; CIRCULATION; SEA; STRATIFICATION; PASSAGE; FRONTS; MASSES</t>
  </si>
  <si>
    <t>Hydrographic data from the World Ocean Circulation Experiment (WOCE) and South Atlantic Ventilation Experiment (SAVE) in the region of transition between the Scotia Sea and the Argentine Basin are examined to determine the composition of the deep water from the Southern Ocean that enters the Atlantic, and to describe the pathways of its constituents. The deep current that flows westward against the Falkland Escarpment is formed of several superposed velocity cores that convey waters of different origins: Lower Circumpolar Deep Water (LCDW), Southeast Pacific Deep Water (SPDW), and Weddell Sea Deep Water (WSDW). Different routes followed by the WSDW upstream of, and through, the Georgia Basin, lead to distinctions between the Lower-WSDW (sigma(4) &gt; 46.09) and the Upper-WSDW (46.04 &lt; sigma(4) &lt; 46.09). The Lower-WSDW flows along the South Sandwich Trench, then cyclonically in the main trough of the Georgia Basin. Although a fraction escapes northward to the Argentine Basin, a comparison of the WOCE data with those from previous programmes shows that this component had disappeared from the southwestern Argentine Basin in 1993/1994. This corroborates previous results using SAVE and pre-SAVE data. A part of the Upper-WSDW, recognizable from different theta-S characteristics, flows through the Scotia Sea, then in the Georgia Basin along the southern front of the Antarctic Circumpolar Current. Northward leakage at this front is expected to feed the Argentine Basin through the northern Georgia Basin. The SPDW is originally found to the south of the Polar Front (PF) in Drake Passage. The northward veering of this front allows this water to cross the North Scotia Ridge at Shag Rocks Passage. It proceeds northward to the Argentine Basin around the Maurice Ewing Bank. The LCDW at the Falkland Escarpment is itself subdivided in two cores, of which only the denser one eventually underrides the North Atlantic Deep Water (NADW) in the Atlantic Ocean. This fraction is from the poleward side of the PF in Drake Passage. It also crosses the North Scotia Ridge at Shag Rocks Passage, then flows over the Falkland Plateau into the Atlantic, The lighter variety, from the northern side of the PF, is thought to cross the North Scotia Ridge at a passage around 55 degrees W. It enters the Argentine Basin in the density range of the NADW. (C) 1999 Elsevier Science Ltd, All rights reserved.</t>
  </si>
  <si>
    <t>IFREMER, UBO, CNRS, Lab Phys Oceans, Plouzane, France; Univ E Anglia, Sch Environm Sci, Norwich NR4 7TJ, Norfolk, England; SOC, James Rennell Div, Southampton SO14 3ZH, Hants, England</t>
  </si>
  <si>
    <t>Universite de Bretagne Occidentale; Institut Universitaire Europeen de la Mer (IUEM); Centre National de la Recherche Scientifique (CNRS); Ifremer; Institut de Recherche pour le Developpement (IRD); University of East Anglia; NERC National Oceanography Centre; University of Southampton</t>
  </si>
  <si>
    <t>Arhan, M (corresponding author), IFREMER, UBO, CNRS, Lab Phys Oceans, BP 70, Plouzane, France.</t>
  </si>
  <si>
    <t>Heywood, Karen/L-1757-2016</t>
  </si>
  <si>
    <t>Heywood, Karen/0000-0001-9859-0026</t>
  </si>
  <si>
    <t>10.1016/S0967-0645(98)00110-6</t>
  </si>
  <si>
    <t>WOS:000079477500020</t>
  </si>
  <si>
    <t>Schröder, M; Fahrbach, E</t>
  </si>
  <si>
    <t>On the structure and the transport of the eastern Weddell Gyre</t>
  </si>
  <si>
    <t>BOTTOM WATER; MAUD RISE; CIRCULATION; SEA; OCEAN; DEEP; STRATIFICATION; TEMPERATURE; VARIABILITY</t>
  </si>
  <si>
    <t>The circulation pattern and volume transports in the eastern Weddell Gyre are estimated on the basis of hydrographic data collected by R.V. Polarstern between 1989 and 1996. In the northeastern edge of the Weddell Gyre, eastward-flowing water masses from the Antarctic Circumpolar Current and the Weddell Sea converge. Due to the strong effect of topographic constraints on ocean currents in the weakly stratified waters of high latitudes, the wedge-like structure of the Southwest Indian Ridge can cause the convergence. The increased shear leads to instabilities of the current at the eastern end of the ridge, which produce an intense mesoscale eddy field between 15 degrees and 30 degrees E. In the eddies, water from the Weddell cold regime and the Antarctic Circumpolar Current waters mix and form the water masses of the Weddell warm regime. These waters are advected southward and flow towards the westward southern rim current, which is driven by the Antarctic eastwind band. Hence, there is not a continous flow from the northern to the southern rim, but a decay of the mean flow in the northeast and a reformation in the south. Volume transports across the Greenwich Meridian, estimated on the basis of a combined CTD/ADCP data set, result in an eastward flow of 61 Sv in the northern rim current and a westward return flow of 66 Sv in the southern part of the gyre. The transport is about twice as high as previous estimates between Kapp Norvegia and the northern tip of the Antarctic Pensinsula, indicating a significant gyre circulation north of 70 degrees S. (C) 1999 Elsevier Science Ltd. All rights reserved.</t>
  </si>
  <si>
    <t>Alfred Wegener Inst Polar &amp; Marine Res, D-27515 Bremerhaven, Germany</t>
  </si>
  <si>
    <t>Helmholtz Association; Alfred Wegener Institute, Helmholtz Centre for Polar &amp; Marine Research</t>
  </si>
  <si>
    <t>Alfred Wegener Inst Polar &amp; Marine Res, Postfach 12 01 61, D-27515 Bremerhaven, Germany.</t>
  </si>
  <si>
    <t>mschroeder@awi-bremerhaven.de</t>
  </si>
  <si>
    <t>10.1016/S0967-0645(98)00112-X</t>
  </si>
  <si>
    <t>WOS:000079477500021</t>
  </si>
  <si>
    <t>Cutter, GA; Measures, CI</t>
  </si>
  <si>
    <t>The 1996 IOC contaminant baseline survey in the Atlantic Ocean from 33°S to 10°N:: introduction, sampling protocols, and hydrographic data</t>
  </si>
  <si>
    <t>Intergovernmental-Oceanographic-Commission-Committee on the Global Investigation of Pollution in the Marine Environment Meeting</t>
  </si>
  <si>
    <t>MAY-JUN -, 1996</t>
  </si>
  <si>
    <t>MONTEVIDEO, URUGUAY</t>
  </si>
  <si>
    <t>TOTAL GEOSTROPHIC CIRCULATION; NORTH-ATLANTIC; FLOW PATTERNS; TRANSPORTS; TRACERS; WATERS; LINE</t>
  </si>
  <si>
    <t>The third in a series of cruises designed to establish the present-day concentrations of trace elements and synthetic organic compounds in major water masses of the ocean, the 1996 Intergovernmental Oceanographic Commission Contaminant Baseline Survey occupied six vertical profile stations in the subtropical and tropical Atlantic. Underway surface samples also were acquired in the transects between these stations. This paper uses the temperature, salinity, oxygen, nutrient, and chlorophyll results from the cruise to set the hydrographic background for the other papers in this special volume. Major features sampled during the surface transect include the Brazil Current, the South Equatorial Current, and the offshore Amazon Plume. Utilizing the above parameters to identify water masses, we observed Antarctic Bottom Water (AABW) that ranged from a relatively undiluted form at 33 degrees S (Station 10) to a highly attenuated form at 8 degrees N (Station 6). Similarly, North Atlantic Deep Water (NADW) was obtained in various mixing stages along its flow path, and samples of NADW and AABW exchanging through the Romanche Fracture Zone to the eastern Atlantic basins were also taken. In addition to these deep water masses, representative samples of Antarctic Intermediate Water and Circumpolar Deep Water were acquired. Besides standard hydrography, these data also were used to verify the sampling integrity of the trace metal-clean, Go Flo bottles deployed on a Kevlar hydrographic cable. (C) 1999 Elsevier Science Ltd. All rights reserved.</t>
  </si>
  <si>
    <t>Old Dominion Univ, Dept Ocean Earth &amp; Atmospher Sci, Norfolk, VA 23529 USA; Univ Hawaii Manoa, Dept Oceanog, Honolulu, HI 96822 USA</t>
  </si>
  <si>
    <t>Old Dominion University; University of Hawaii System; University of Hawaii Manoa</t>
  </si>
  <si>
    <t>Cutter, GA (corresponding author), Old Dominion Univ, Dept Ocean Earth &amp; Atmospher Sci, Norfolk, VA 23529 USA.</t>
  </si>
  <si>
    <t>Cutter, Gregory/C-7898-2017</t>
  </si>
  <si>
    <t>Cutter, Gregory/0000-0001-6744-6718</t>
  </si>
  <si>
    <t>10.1016/S0967-0645(99)00005-3</t>
  </si>
  <si>
    <t>199ZX</t>
  </si>
  <si>
    <t>WOS:000080514900002</t>
  </si>
  <si>
    <t>Mason, RP; Sullivan, KA</t>
  </si>
  <si>
    <t>The distribution and speciation of mercury in the South and equatorial Atlantic</t>
  </si>
  <si>
    <t>ATOMIC FLUORESCENCE DETECTION; NORTH-ATLANTIC; PACIFIC-OCEAN; GAS-CHROMATOGRAPHY; ELEMENTAL MERCURY; VOLATILE MERCURY; REACTIVE MERCURY; GASEOUS MERCURY; WATERS; LEVEL</t>
  </si>
  <si>
    <t>Mercury concentration and speciation were measured in surface and deep ocean waters of the South and equatorial Atlantic. In the surface waters, total Hg was 2.9 +/- 1.7 pM on average, with a significant fraction present as reactive Hg (1.7 +/- 1.2 pM). The reactive Hg fraction consisted of elemental Hg (Hg degrees) as the dominant species (1.2 +/- 0.8 pM). Measurements in surface waters also showed that Hg partitioned to the colloidal phase (0.33 +/- 0.28 pM) and was associated with particulate matter (0.1 +/- 0.05 pM), No dimethylmercury (DMHg &lt; 0.01 pM) or monomethylmercury (MMHg; &lt; 0.05 pM) was detected in mixed layer samples. The highest DMHg concentrations were found in recently formed deep waters - Antarctic Intermediate Water and Antarctic Bottom Water and in the equatorial subthermocline region, Higher concentrations of DMHg coincided with higher values of apparent oxygen utilization, indicative of a link between microbial activity and methylated Hg production, The lowest-deep water DMHg concentrations were found in the core of the North Atlantic Deep Water. Incubation experiments on-board demonstrated that light enhanced the decomposition of DMHg, with MMHg as the major product. In deep waters, Hg degrees was still an important constituent and is likely formed as a decomposition product from MMHg. These results suggest that methylated Hg production occurs primarily in regions of high biological activity, and that ionic Hg is strongly complexed to organic matter (colloidal material) in open ocean surface waters. (C) 1999 Elsevier Science Ltd. All rights reserved.</t>
  </si>
  <si>
    <t>Univ Maryland, Chesapeake Biol Lab, Ctr Environm Sci, Solomons, MD 20688 USA</t>
  </si>
  <si>
    <t>University System of Maryland; University of Maryland Center for Environmental Science</t>
  </si>
  <si>
    <t>Mason, RP (corresponding author), Univ Maryland, Chesapeake Biol Lab, Ctr Environm Sci, POB 38, Solomons, MD 20688 USA.</t>
  </si>
  <si>
    <t>Mason, Robert/0000-0002-7443-4931</t>
  </si>
  <si>
    <t>10.1016/S0967-0645(99)00010-7</t>
  </si>
  <si>
    <t>WOS:000080514900006</t>
  </si>
  <si>
    <t>Brandon, MA; Wadhams, P</t>
  </si>
  <si>
    <t>The near surface hydrography beneath the Odden ice tongue</t>
  </si>
  <si>
    <t>GREENLAND SEA; DEEP CONVECTION; OCEAN; TEMPERATURE; FIELD; MODEL; ZONE; HEAT</t>
  </si>
  <si>
    <t>As part of the European Subpolar Ocean Programme (ESOP), the German research icebreaker Polarstern worked in the Greenland Sea in the late winter of 1993. Whilst on passage, the ship encountered a severe winter storm with winds consistently above 20 m s(-1) coupled to air temperatures of below - 10 degrees C. The underway sensors revealed heat fluxes of greater than 700 W m(-2) across most of the Nordic Basin, peaking at greater than 1200 W m(-2) when the ship crossed the cold, fresh water of the Jan Mayen Current. This large heat flux coupled to the unique hydrographic conditions present in the Jan Mayen Current allowed sea-ice generation in the form of frazil ice at a rate of 28 cm d(-1). This frazil ice then developed into pancake ice. Measurements also were made in the late winter beneath this pancake ice in two remnants of the Odden. In the Jan Mayen Current, hydrographic conditions are such that the ice can exist for a long period of time before eventually decaying due to short-wave radiation at the surface. Towards the centre of the Greenland Sea, hydrographic measurements reveal that the ice is more transient and decays four times more rapidly than ice in the Jan Mayen Current. We discuss the development of the Odden ice tongue in light of these results and add evidence to the argument that the eventual fate of the water stored in the ice is important and could be a relevant factor in the formation of Greenland Sea Deep Water. (C) 1999 Elsevier Science Ltd. All rights reserved.</t>
  </si>
  <si>
    <t>Univ Cambridge, Scott Polar Res Inst, Cambridge CB2 1ER, England</t>
  </si>
  <si>
    <t>University of Cambridge</t>
  </si>
  <si>
    <t>British Antarctic Survey, High Cross,Madingley Rd, Cambridge CB3 0ET, England.</t>
  </si>
  <si>
    <t>m.brandon@bas.ac.uk</t>
  </si>
  <si>
    <t>Brandon, Mark A/A-5804-2010</t>
  </si>
  <si>
    <t>Brandon, Mark/0000-0002-7779-0958</t>
  </si>
  <si>
    <t>6-7</t>
  </si>
  <si>
    <t>10.1016/S0967-0645(99)00024-7</t>
  </si>
  <si>
    <t>210TZ</t>
  </si>
  <si>
    <t>WOS:000081121900011</t>
  </si>
  <si>
    <t>Fraser, P</t>
  </si>
  <si>
    <t>DyallSmith, D; Marks, R</t>
  </si>
  <si>
    <t>Stratospheric ozone depletion: perspectives and prospects</t>
  </si>
  <si>
    <t>DERMATOLOGY AT THE MILLENNIUM</t>
  </si>
  <si>
    <t>19th World Congress of Dermatology</t>
  </si>
  <si>
    <t>JUN 15-21, 1997</t>
  </si>
  <si>
    <t>SYDNEY, AUSTRALIA</t>
  </si>
  <si>
    <t>ANTARCTIC OZONE; CHLORINE; LIFETIME; TRENDS; SINK</t>
  </si>
  <si>
    <t>CSIRO Astmospher Res, CRC So Hemisphere Meteorol, Aspendale, Vic, Australia</t>
  </si>
  <si>
    <t>Commonwealth Scientific &amp; Industrial Research Organisation (CSIRO)</t>
  </si>
  <si>
    <t>Fraser, P (corresponding author), CSIRO Astmospher Res, CRC So Hemisphere Meteorol, Aspendale, Vic, Australia.</t>
  </si>
  <si>
    <t>Fraser, Paul J. B./D-1755-2012</t>
  </si>
  <si>
    <t>PARTHENON PUBLISHING GROUP LTD</t>
  </si>
  <si>
    <t>LANCASTER</t>
  </si>
  <si>
    <t>CASTERTON HALL, CARNFORTH, LANCASTER LA6 2LA, ENGLAND</t>
  </si>
  <si>
    <t>1-85070-005-2</t>
  </si>
  <si>
    <t>Dermatology</t>
  </si>
  <si>
    <t>BN66P</t>
  </si>
  <si>
    <t>WOS:000082549800007</t>
  </si>
  <si>
    <t>Loshchilov, VS; Paramonov, AI</t>
  </si>
  <si>
    <t>Determining and mapping the sea ice thickness in the arctic from IR-band satellite imagery</t>
  </si>
  <si>
    <t>EARTH OBSERVATION AND REMOTE SENSING</t>
  </si>
  <si>
    <t>A theoretical model of the connection between the temperature topography of sea surface ice cover and the topography of its thickness is presented. Based on this model, a method for automated determination and mapping of sea ice thickness using measurements on IR satellite images is developed. The results are compared with data from synchronous measurements of ice thickness from ice breakers and coastal meteorological stations.</t>
  </si>
  <si>
    <t>Arctic &amp; Antarctic Res Inst, St Petersburg, Russia</t>
  </si>
  <si>
    <t>Arctic &amp; Antarctic Research Institute</t>
  </si>
  <si>
    <t>Loshchilov, VS (corresponding author), Arctic &amp; Antarctic Res Inst, St Petersburg, Russia.</t>
  </si>
  <si>
    <t>HARWOOD ACAD PUBL GMBH</t>
  </si>
  <si>
    <t>READING</t>
  </si>
  <si>
    <t>C/O STBS LTD, PO BOX 90, READING, BERKS, ENGLAND RG1 8JL</t>
  </si>
  <si>
    <t>1024-5251</t>
  </si>
  <si>
    <t>EARTH OBS REMOT SEN+</t>
  </si>
  <si>
    <t>Earth Observ. Remote Sens.</t>
  </si>
  <si>
    <t>Geography, Physical; Geosciences, Multidisciplinary; Remote Sensing; Imaging Science &amp; Photographic Technology</t>
  </si>
  <si>
    <t>Physical Geography; Geology; Remote Sensing; Imaging Science &amp; Photographic Technology</t>
  </si>
  <si>
    <t>256LU</t>
  </si>
  <si>
    <t>WOS:000083727400008</t>
  </si>
  <si>
    <t>Gogorza, CSG; Sinito, AM; Di Tommaso, I; Vilas, JF; Creer, KM; Nuñez, H</t>
  </si>
  <si>
    <t>Holocene geomagnetic secular variations recorded by sediments from Escondido Lake (south Argentina)</t>
  </si>
  <si>
    <t>EARTH PLANETS AND SPACE</t>
  </si>
  <si>
    <t>BAYESIAN-ANALYSIS; PARAMETER-ESTIMATION; SIGNAL-DETECTION; MODEL SELECTION; TIME-SERIES</t>
  </si>
  <si>
    <t>Paleomagnetic and sedimentological studies carried out on two short cores and nine long cores from the bottom sediments from Escondido Lake (south-western Argentina) are described. Rock magnetic analysis suggests that the main carriers of magnetization seems to be ferrimagnetic minerals, predominantly pseudo single domain magnetite. The presence of greigite, as diagenetic euxinic material, is also suggested. Calibrated ages were calculated from radiocarbon dating and a transfer function shortened depth-age is built, which suggests the existence of a hiatus, supported by the suggestion of previous palynological studies about the possible evidence of the younger Dryas cooling event seen in the Antarctic ice cores. The stacked inclination and declination curves and their standard deviations using arithmetical average after chronostratigraphic correlations are made. Inclination data show two well defined periods: a long period (about 7700 years) and a short one (between 2660 and 2900 years), Declination data show two intermediate periods (about 3600 and 2900 years respectively) and a long, although less reliable, period (about 10000 years). The longer periods may be related to dipolar variations, while the shorter periods may be associated to non dipolar variations.</t>
  </si>
  <si>
    <t>UNCPBA, IFAS, RA-7000 Tandil, Argentina; Univ Buenos Aires, Lab Daniel Valencio, RA-1428 Buenos Aires, DF, Argentina; Univ Edinburgh, Dept Geol &amp; Geophys, Edinburgh EH9 3JW, Midlothian, Scotland; Inst Antartico Argentino, RA-1248 Buenos Aires, DF, Argentina; CONICET, RA-1033 Buenos Aires, DF, Argentina</t>
  </si>
  <si>
    <t>University of Buenos Aires; University of Edinburgh; Instituto Antartico Argentino; Consejo Nacional de Investigaciones Cientificas y Tecnicas (CONICET)</t>
  </si>
  <si>
    <t>Gogorza, CSG (corresponding author), UNCPBA, IFAS, Pinto 399, RA-7000 Tandil, Argentina.</t>
  </si>
  <si>
    <t>cgogorza@ifas.exa.unicen.edu.ar</t>
  </si>
  <si>
    <t>Gogorza, Claudia/0000-0003-2982-1761</t>
  </si>
  <si>
    <t>TERRA SCIENTIFIC PUBL CO</t>
  </si>
  <si>
    <t>TOKYO</t>
  </si>
  <si>
    <t>2003 SANSEI JIYUGAOKA HAIMU, 5-27-19 OKUSAWA, SETAGAYA-KU, TOKYO, 158, JAPAN</t>
  </si>
  <si>
    <t>1343-8832</t>
  </si>
  <si>
    <t>EARTH PLANETS SPACE</t>
  </si>
  <si>
    <t>Earth Planets Space</t>
  </si>
  <si>
    <t>10.1186/BF03352214</t>
  </si>
  <si>
    <t>180JV</t>
  </si>
  <si>
    <t>gold</t>
  </si>
  <si>
    <t>WOS:000079383200003</t>
  </si>
  <si>
    <t>Shibuya, K; Doi, K; Aoki, S</t>
  </si>
  <si>
    <t>Precise determination of geoid height and free-air gravity anomaly at Syowa Station, Antarctica</t>
  </si>
  <si>
    <t>From the International Terrestrial Reference Frame 1994 (ITRF94) coordinates of the Doppler Orbitography Radiopositioning Integrated by Satellites (DORIS) beacon marker at Syowa Station (69.0 degrees S, 39.6 degrees E), Antarctica, we derived the ellipsoidal height of the Scientific Committee on Antarctic Research (SCAR) Global Positioning System (GPS) point as 42.240 m on the World Geodetic System 1984 (WGS84) associated ellipsoid of a tide free Earth at the epoch of 1993.0. Because the SCAR GPS reference mark was 21.165 m above the local mean sea level at the epoch of 1993.0, and because the sea surface topography is estimated as -1.29 m, the ground data of geoid height can be estimated as 22.37 m on the WGS84 ellipsoid. As for error estimate of the above value, 20-30 cm formal error can be assigned including 3 cm error from the DORIS determination, 1 cm error from the local geodetic tie, and the dominant 20-30 cm error from uncertain modeling of sea surface topography, etc. The EGM96 geoid model gives the synthetic geoid height of 22.10 m at Syowa Station; the discrepancy of 27 cm from the observed value is within the 36 cm cumulative (to the degree 360) rms (root-mean-square) error of the model. We retried similar determination at Breid Bay (70.2 degrees S, 23.8 degrees E) and made a tie to the inland outcropped Seal Rock; the obtained value of 21.4 m has an overall error of 1.8 m. These ground data can be used as test data for generating higher-order (n, m greater than or equal to 360) geopotential models. With the establishment of the International Absolute Gravity Basestation Network (IAGBN) standard value at Syowa Station and gravimetric connection to the Seal Rock, ground data of free-air gravity anomalies of 0.05 mgal accuracy at Syowa Station and 1 mgal accuracy at Seal Rock were obtained. These gravity ground data will also serve as test data for adjusting the satellite- and/or shipborne-derived gravity anomaly maps in the region concerned.</t>
  </si>
  <si>
    <t>Natl Inst Polar Res, Ctr Antarctic Environm Monitoring, Itabashi Ku, Tokyo 1738515, Japan</t>
  </si>
  <si>
    <t>Research Organization of Information &amp; Systems (ROIS); National Institute of Polar Research (NIPR) - Japan</t>
  </si>
  <si>
    <t>Shibuya, K (corresponding author), Natl Inst Polar Res, Ctr Antarctic Environm Monitoring, Itabashi Ku, Kaga 1-9-10, Tokyo 1738515, Japan.</t>
  </si>
  <si>
    <t>Aoki, Shigeru/D-9105-2012</t>
  </si>
  <si>
    <t>10.1186/BF03352220</t>
  </si>
  <si>
    <t>183CA</t>
  </si>
  <si>
    <t>WOS:000079535400002</t>
  </si>
  <si>
    <t>Riggin, DM; Fritts, DC; Jarvis, MJ; Jones, GOL</t>
  </si>
  <si>
    <t>Spatial structure of the 12-hour wave in the Antarctic as observed by radar</t>
  </si>
  <si>
    <t>International Symposium on Dynamics and Structure of the Mesopause Region</t>
  </si>
  <si>
    <t>MAR 16-21, 1998</t>
  </si>
  <si>
    <t>KYOTO UNIV, KYOTO, JAPAN</t>
  </si>
  <si>
    <t>KYOTO UNIV</t>
  </si>
  <si>
    <t>SOUTH-POLE; LOWER THERMOSPHERE; SEMIDIURNAL TIDE; MESOSPHERE; OSCILLATION; VARIABILITY; MOTIONS</t>
  </si>
  <si>
    <t>We present radar measurements of the 12-hour wave, a zonal wavenumber 1 westward propagating wave that exists in the southern polar mesopause region winds (Hernandez er al., 1993; Forbes et at, 1995). MF radar measurements of the horizontal winds at McMurdo (77.8 degrees S, 166.67 degrees E) show that the 12-hour wave is highly seasonal, occurring during the austral summer solstice. During these seasonal occurrences, the wave is highly intermittent with amplitude peaks of greater than or similar to 30 m s(-1). The burst-like occurrences of large 12-hour wave amplitudes are highly correlated between the zonal and meridional direction. The diurnal tide over McMurdo has a more constant amplitude, but it is also an almost exclusively summertime phenomenon. Inertia-gravity wave activity is evident at periods less than 12 hr during the austral winter months. The weakening of gravity wave activity during the summer is probably due to critical layer filtering by the zonal mean wind, 12-hour wave and diurnal tide which are all strong during this season. The 12-hour wave is confined in height to the vicinity of the zero crossing in the zonal winds above the westward jet. Extreme distortion is observed in the vertical phase fronts of the 12-hour wave which could signify either refraction or in situ forcing. The distortion in the phase fronts and localization of the 12-hour wave in time and height is apparently responsible for departures in period from the nominal 12 hours. We do not find the wave period to be systematically different from 12 hours. The association of the 12-hour wave events with shear in the mean wind suggests that refractive effects could conceivably cause a dilation in wave amplitude. However, the shear is of the opposite sign to cause this dilation unless the wave originates at higher altitudes and propagates downward into the mesosphere. Investigations are made of the zonal structure of the 12-hour wave by comparing phases of the 12-hour wind component between McMurdo and the dynasonde at Halley (75.8 degrees S, 26.4 degrees W). The phase is found to be stable and consistent with a westward propagating zonal wavenumber 2 structure during seasons when the 12-hour wave is weak. The migrating semidiurnal tide evidently dominates during these times of the year. During seasons when the 12-hour wave amplitude is large, the zonal structure is highly unstable and there is not an obvious dominant zonal wavenumber.</t>
  </si>
  <si>
    <t>Colorado Res Associates, Boulder, CO USA; British Antarctic Survey, NERC, Cambridge CB3 0ET, England</t>
  </si>
  <si>
    <t>UK Research &amp; Innovation (UKRI); Natural Environment Research Council (NERC); NERC British Antarctic Survey</t>
  </si>
  <si>
    <t>Riggin, DM (corresponding author), Colorado Res Associates, Boulder, CO USA.</t>
  </si>
  <si>
    <t>7-8</t>
  </si>
  <si>
    <t>10.1186/BF03353220</t>
  </si>
  <si>
    <t>242AN</t>
  </si>
  <si>
    <t>Green Accepted, gold</t>
  </si>
  <si>
    <t>WOS:000082916200014</t>
  </si>
  <si>
    <t>Jenkins, B; Jarvis, MJ</t>
  </si>
  <si>
    <t>Mesospheric winds derived from SuperDARN HF radar meteor echoes at Halley, Antarctica</t>
  </si>
  <si>
    <t>DYNAMICS</t>
  </si>
  <si>
    <t>Mesospheric winds are derived from HF radar observations of meteor echoes at Halley (76 degrees S, 27 degrees W), Antarctica. These meteor echoes are observed within the first range gates of the radar (less than 500 km) and are characterised by lower spectral widths than echoes backscattered from plasma irregularities in the E region of the ionosphere. The derived winds show first order agreement with mesospheric winds measured independently over Halley. Gravity wave signatures (e.g. &lt;2-h period) and smaller-scale structure in the winds are revealed within the spatiotemporal data formed by the 16 beams. A data base of such observations is being built up from existing radar data extending over nearly a full solar cycle from 1988 to the present day.</t>
  </si>
  <si>
    <t>British Antarctic Survey, NERC, Cambridge, England</t>
  </si>
  <si>
    <t>Jenkins, B (corresponding author), British Antarctic Survey, NERC, Cambridge, England.</t>
  </si>
  <si>
    <t>10.1186/BF03353226</t>
  </si>
  <si>
    <t>WOS:000082916200020</t>
  </si>
  <si>
    <t>Vinebrooke, RD; Leavitt, PR</t>
  </si>
  <si>
    <t>Differential responses of littoral communities to ultraviolet radiation in an alpine lake</t>
  </si>
  <si>
    <t>ECOLOGY</t>
  </si>
  <si>
    <t>algal pigments; Alpine lake; epilithon; epipelon; littoral food web; phytoplankton; Rocky Mountains, Canada; ultraviolet radiation; zoobenthos; zooplankton</t>
  </si>
  <si>
    <t>UV-B RADIATION; FRESH-WATER ECOSYSTEMS; SHORT-TERM; ANTARCTIC CYANOBACTERIA; FOSSIL PIGMENTS; BENTHIC ALGAE; PHYTOPLANKTON; ZOOPLANKTON; GROWTH; HESPERODIAPTOMUS</t>
  </si>
  <si>
    <t>Differential sensitivities of benthic and planktonic communities to UV radiation may involve differences in habitat conditions (e.g., availability of physical refuge), taxonomic composition, UV-A (320-400 nm) and DNA-damaging UV-B (280-320 nm) irradiances, and potential indirect effects via food-web processes. These hypotheses were tested using 18 enclosures (corrals) within an alpine lake. The factorial design consisted of three UV treatments (+ UV, - UV-B, - UV) and two macroinvertebrate densities (ambient, 3x), High performance liquid chromatography was used to quantify changes in periphyton and phytoplankton abundance and composition in response to UV radiation and macroinvertebrates over a period of 1 mo. Algal and invertebrate responses to UV radiation were habitat- and taxon-specific. Epilithic standing crop was significantly suppressed by UV radiation, primarily due to UVB radiation inhibiting diatoms by 40%. In contrast, standing crop of epipelic (sediment-dwelling) organisms was significantly enhanced by UV-A radiation, which increased the abundance of cyanobacteria by 50%. UV radiation also significantly altered the taxonomic composition of both epilithon and epipelon. In comparison, picocyanobacterial phytoplankton were unaffected by UV radiation. Zoobenthos (Gammarus lacustris, Chironomidae) and zooplankton (Hesperodiaptomus arcticus, Rotifera) did not significantly alter periphyton or phytoplankton biomass or taxonomic composition. Although total zoobenthos and zooplankton biomass were unaffected by UV radiation, UV-B significantly suppressed the final density of rotifers but not that of heavily pigmented calanoid copepods. These results show that UV radiation affects shallow-water communities in cold and unproductive systems mainly through direct effects, rather than by indirect effects mediated by food-web processes. Access to physical refuges was evidently a key factor determining habitat-specific responses to UV radiation. UV radiation did not adversely affect motile epipelon and zoobenthos that could seek refuge in sediments, but it did suppress attached epilithic taxa. In habitats devoid of physical refuge, UV tolerance was associated with photoprotective pigmentation (i.e., H. arcticus), and possibly a capacity for DNA repair (i.e., epilithic filamentous cyanobacteria and planktonic picocyanobacteria). Our findings suggest that UV exposure can affect abiotic regulation of littoral food webs in extreme environments, such as alpine, polar, and anthropogenically acidified ponds and shallow lakes.</t>
  </si>
  <si>
    <t>Univ Regina, Dept Biol, Regina, SK S4S 0A2, Canada</t>
  </si>
  <si>
    <t>University of Regina</t>
  </si>
  <si>
    <t>Univ Alberta, Dept Biol Sci, Edmonton, AB T6G 2E9, Canada.</t>
  </si>
  <si>
    <t>rolf@ualberta.ca</t>
  </si>
  <si>
    <t>Leavitt, Peter R/A-1048-2013; Vinebrooke, Rolf/A-3766-2014</t>
  </si>
  <si>
    <t>Leavitt, Peter R/0000-0001-9805-9307; Vinebrooke, Rolf/0000-0003-0497-2520</t>
  </si>
  <si>
    <t>WILEY</t>
  </si>
  <si>
    <t>HOBOKEN</t>
  </si>
  <si>
    <t>111 RIVER ST, HOBOKEN 07030-5774, NJ USA</t>
  </si>
  <si>
    <t>0012-9658</t>
  </si>
  <si>
    <t>1939-9170</t>
  </si>
  <si>
    <t>Ecology</t>
  </si>
  <si>
    <t>Environmental Sciences &amp; Ecology</t>
  </si>
  <si>
    <t>157DV</t>
  </si>
  <si>
    <t>WOS:000078045600017</t>
  </si>
  <si>
    <t>Furness, RW</t>
  </si>
  <si>
    <t>UNIV. OF ALASKA SEA GRANT COLLEGE PROGRAM; UNIV. OF ALASKA SEA GRANT COLLEGE PROGRAM; UNIV. OF ALASKA SEA GRANT COLLEGE PROGRAM</t>
  </si>
  <si>
    <t>Will reduced discarding help or harm seabird populations?</t>
  </si>
  <si>
    <t>ECOSYSTEM APPROACHES FOR FISHERIES MANAGEMENT</t>
  </si>
  <si>
    <t>Lowell Wakefield Fisheries Symposia Series</t>
  </si>
  <si>
    <t>Symposium on Ecosystem Considerations in Fisheries Management</t>
  </si>
  <si>
    <t>SEP 30-OCT 03, 1998</t>
  </si>
  <si>
    <t>ANCHORAGE, AK</t>
  </si>
  <si>
    <t>GULL LARUS-AUDOUINII; SKUAS CATHARACTA-SKUA; TRAWLER DISCARDS; NORTH-SEA; COMMERCIAL FISHERIES; BREEDING ECOLOGY; FEEDING ECOLOGY; EBRO DELTA; SHETLAND; ISLANDS</t>
  </si>
  <si>
    <t>About 27 million t of fish was discarded worldwide in 1993. Particularly high discarding levels occur in heavily exploited mixed fisheries where possibility for gear selectivity is constrained. Clearly reduction of discarding is desirable. The FAO (Food and Agriculture Organization of the United Nations) estimates that a reduction of at least 60% in bycatch is possible by the year 2000. However, discards now form a major food supply for scavenging seabirds. In the North Sea, discard consumption by seabirds varies, being highest in winter, highest in the northwest North Sea, and high for offal (94-100%) and roundfish (70-92%) but low for flatfish (10-35%), elasmobranchs (12%), and benthic invertebrates (3-17%). Larger scavenging seabirds steal fish from smaller seabirds and obtain higher intake rates. Technical measures to reduce discarding are likely to increase competition, reducing scavenging success for smaller seabirds. Technical measures that increase the mean size of discards (such as increased net mesh size) will particularly reduce food supply to the smaller scavenging seabirds. Severe effects on breeding success or population size of scavenging seabirds following reductions in discarding have already been documented. Discards form more than half the breeding season diet of skuas. Skua colony sizes in the North Sea are many times larger than those in the sub-Antarctic where skuas feed predominantly by predation on seabirds. The increase in skua numbers in the North Sea seems to have been made possible by the provision of discards. Reducing discards available to seabirds, leading to switching diet, may have a severe impact on other seabird populations, since skuas are likely to switch to predation on other seabirds. The large populations of skuas in the North Sea might extirpate kittiwakes and other seabirds before their own populations fall to sustainable levels.</t>
  </si>
  <si>
    <t>Univ Glasgow, Inst Biomed &amp; Life Sci, Glasgow, Lanark, Scotland</t>
  </si>
  <si>
    <t>University of Glasgow</t>
  </si>
  <si>
    <t>Furness, RW (corresponding author), Univ Glasgow, Inst Biomed &amp; Life Sci, Glasgow, Lanark, Scotland.</t>
  </si>
  <si>
    <t>r.furness@bio.gla.ac.uk</t>
  </si>
  <si>
    <t>UNIV ALASKA SEA GRANT</t>
  </si>
  <si>
    <t>FAIRBANKS</t>
  </si>
  <si>
    <t>POB 755040, 205 ONEILL BLDG, FAIRBANKS, AK 99775 USA</t>
  </si>
  <si>
    <t>1-56612-061-6</t>
  </si>
  <si>
    <t>LOW WAKE FI</t>
  </si>
  <si>
    <t>Fisheries</t>
  </si>
  <si>
    <t>BP34Q</t>
  </si>
  <si>
    <t>WOS:000084758600035</t>
  </si>
  <si>
    <t>Shibata, H</t>
  </si>
  <si>
    <t>Markham, JW; Duda, AL; Andrews, M</t>
  </si>
  <si>
    <t>Collaborating with the cold regions bibliography project:: The SPRI experience</t>
  </si>
  <si>
    <t>ELECTRONIC INFORMATION AND PUBLICATIONS: LOOKING TO THE ELECTRONIC FUTURE, LET'S NOT FORGET THE ARCHIVAL PAST</t>
  </si>
  <si>
    <t>INTERNATIONAL ASSOCIATION OF MARINE SCIENCE LIBRARIES AND INFORMATION CENTERS CONFERENCE SERIES</t>
  </si>
  <si>
    <t>24th Annual Conference of the International-Association-of-Aquatic-and-Marine-Science-Libraries-and-Information-Centers / 17th Polar Libraries Colloquy</t>
  </si>
  <si>
    <t>SEP 20-25, 1998</t>
  </si>
  <si>
    <t>REYKJAVIK, ICELAND</t>
  </si>
  <si>
    <t>The Scott Polar Research Institute Library has been contributing Antarctic records to the Cold Regions Bibliography Project since 1996. The rationale of the collaboration project is outlined in the context of increasing coverage and reducing duplicate indexing. Although the different requirements of the CRBP and SPRI databases have been seen as a barrier to the sharing of records, a low-tech solution based on word-processing software has been used to adapt records created for CRBP to fit the SPRI format. The in-house advantages to both organizations will be assessed, as well as the implications for future collaboration projects.</t>
  </si>
  <si>
    <t>Shibata, H (corresponding author), Univ Cambridge, Scott Polar Res Inst, Lensfield Rd, Cambridge CB2 1ER, England.</t>
  </si>
  <si>
    <t>INT ASSOC MARINE SCIENCE LIBRARIES &amp; INFORMATION CENTER</t>
  </si>
  <si>
    <t>FORT PIERCE</t>
  </si>
  <si>
    <t>C/O HBOI LIBRARY, 5600 OLD DIXIE HWY, FORT PIERCE, FL 34946 USA</t>
  </si>
  <si>
    <t>IAMSLIC CON</t>
  </si>
  <si>
    <t>Computer Science, Interdisciplinary Applications; Marine &amp; Freshwater Biology; Oceanography</t>
  </si>
  <si>
    <t>Computer Science; Marine &amp; Freshwater Biology; Oceanography</t>
  </si>
  <si>
    <t>BN07M</t>
  </si>
  <si>
    <t>WOS:000080598400033</t>
  </si>
  <si>
    <t>Bianchi, S</t>
  </si>
  <si>
    <t>Electronic access to Antarctic information: Projects and efforts of the National Science Foundation</t>
  </si>
  <si>
    <t>National Science Foundation (US); Antarctic Bibliography; electronic publishing; document delivery; Antarctic Treaty System; International Council of Scientific Unions; Scientific Committee on Antarctic Research</t>
  </si>
  <si>
    <t>The National Science Foundation (NSF) is initiating two projects of significant interest to the polar library community. One project concerns the reporting obligations of signatories to the Antarctic Treaty. Although these reports have traditionally been submitted in hard copy, a proposal has been agreed upon at the 22nd Antarctic Treaty consultative meeting in Tromso, Norway, to make future reports available in electronic format. The National Science Foundation was asked to develop a specific plan for implementation before the next treaty meeting in 1999. It is expected that polar librarians around the world will be instrumental in providing access to these reports. Additionally, the NSF Office of Polar Programs since 1963 has supported the Library of Congress production of the Antarctic Bibliography - a list with abstracts of books, reports, and articles appearing in the scientific literature about the Antarctic, accompanied by full text of these documents on microfiche. Although the bibliographic citations and abstracts are made available by the Library of Congress and in commercial databases, the microfiche of the full texts is available in only six sets. NSF would like to expand the availability of these full text documents to make them accessible to a wider audience of researchers, and to make distribution and use of the documents easier and more efficient. Modern library technology and distribution networks now make it possible to store documents in a digitized format and to distribute them, on demand, electronically to any location with an Internet connection. This means that scientists who may not be working near one of the core microfiche collections would have access to these documents at any time, without waiting weeks for access to critical information. Not only would this benefit scientists working through the auspices of the National Science Foundation, but it would open up the availability of this invaluable collection to scientists and students all over the world. While the library and publishing worlds appear headed toward broad-scale solutions, based on the Internet, for future publications and collections, the valuable retrospective collection of the Antarctic Bibliography project dating back to 1951 merits special attention. The National Science Foundation is currently in the planning stages of these projects, and seeks the advice and information of librarians around the world who have an interest in this document collection and these reports in order to work toward suitable formats and technologies, and possibilities for cooperation in implementing the project. At the same time, the continuance of the Antarctic Bibliography is in danger due to changes in funding and programming. The National Science Foundation is looking toward the ideas and expertise of the polar library community to develop a cooperative program, at least partially funded by NSF, to ensure the continuance of this valuable resource.</t>
  </si>
  <si>
    <t>Natl Sci Fdn Lib, Arlington, VA 22201 USA</t>
  </si>
  <si>
    <t>National Science Foundation (NSF)</t>
  </si>
  <si>
    <t>Bianchi, S (corresponding author), Natl Sci Fdn Lib, 4201 Wilson Blvd, Arlington, VA 22201 USA.</t>
  </si>
  <si>
    <t>WOS:000080598400037</t>
  </si>
  <si>
    <t>Sfraga, M; Stephens, D</t>
  </si>
  <si>
    <t>The great Polar controversy: Dr. Cook, Mt. Mckinley, and the quest for the poles</t>
  </si>
  <si>
    <t>Cook, Frederick A.; Peary, Robert E.; Mt. McKinley; North Pole; Alaska; Polar regions-discovery and exploration</t>
  </si>
  <si>
    <t>In September 1906, Dr. Frederick A. Cook announced to a receptive public that he and Ed Barrill had successfully climbed Mt. McKinley by a new route from the North. It was a time of keen interest in exploration, particularly of the Arctic and Antarctic regions. While Cook's was initially hailed as the first ascent of North America's highest mountain, his report came under increasing scrutiny as details came to light (or failed to come to light, as the case may be.) The controversy surrounding Cook's Mt. McKinley climb assumed increasing importance in the context of his claim to have been the first to reach the North Pole in April, 1908. The Doctor's claim was disputed by Robert E. Peary, who announced that he himself was first to the Pole in April, 1909, and that Cook should not be taken too seriously. The chain of events that followed affected the course of exploration at both poles. This paper will examine the bases for Cook's claim to have been first on McKinley and first at the North Pole; the sequence of events that has led to general scepticism about Cook's claims; and the figures in Arctic and Antarctic exploration who were caught up in a dispute that continues to the current day. The paper will also report on recent computer-enhanced analyses of Dr. Cook's 1906 alleged Mt. McKinley summit photographs which he published to support his claim of a successful ascent.</t>
  </si>
  <si>
    <t>Univ Alaska Fairbanks, Coll Rural Alaska, Fairbanks, AK 99775 USA</t>
  </si>
  <si>
    <t>Sfraga, M (corresponding author), Univ Alaska Fairbanks, Coll Rural Alaska, POB 756500, Fairbanks, AK 99775 USA.</t>
  </si>
  <si>
    <t>WOS:000080598400051</t>
  </si>
  <si>
    <t>Hirst, AC</t>
  </si>
  <si>
    <t>The Southern Ocean response to global warming in the CSIRO coupled ocean-atmosphere model</t>
  </si>
  <si>
    <t>ENVIRONMENTAL MODELLING &amp; SOFTWARE</t>
  </si>
  <si>
    <t>coupled model; Southern Ocean; global warming</t>
  </si>
  <si>
    <t>EDDY-INDUCED ADVECTION; CIRCULATION MODELS; CARBON-DIOXIDE; TRANSIENT-RESPONSE; TRACER TRANSPORTS; SEA-ICE; CLIMATE; SENSITIVITY; CELLS; CO2</t>
  </si>
  <si>
    <t>The Southern Ocean response to global warming is examined for a transient greenhouse gas integration using the Commonwealth Scientific and Industrial Research Organisation (CSIRO) coupled ocean-atmosphere model. The ocean component includes the Gent and McWilliams scheme for adiabatic eddy-induced transport. The atmospheric equivalent CO2 concentration (CO2e) follows the IPCC/IS92a radiative forcing scenario from 1880 to 2082, and is then maintained at a constant value of three times the 1880 level for seven centuries. The simulated changes which occur in the Southern Ocean under global warming are very profound, and they begin to separate clearly from the background climate noise in the model's 1990s. A major reduction in the depth and extent of convective mixing occurs by the time of CO2e doubling (year 2033), with near-cessation of convection by the time of CO2e tripling. Similarly major reduction occurs in the downwelling adjacent to Antarctica associated with Antarctic Bottom Water formation, which also nearly ceases by the time of CO2e tripling. These changes are associated with a marked reduction in surface density and salinity. By the time of CO2e tripling, both the pycnocline and halocline south from 60 degrees S intensify over the control by about a factor of four. The changes in surface salinity and density continue to intensify for several centuries during the subsequent period of elevated stable CO2e, and convection and Antarctic downwelling do not recover at all for the duration of the transient run. The water of the entire global ocean below about 1.5 km depth remains stagnant for the duration of the period of elevated stable CO2e, retaining a density which is too great to allow renewal from any source. Possible caveats on the realism of these results are discussed, and potential consequences of the above changes are noted. (C) 1999 Elsevier Science Ltd. All rights reserved.</t>
  </si>
  <si>
    <t>CSIRO, Div Atmospher Res, CRC So Hemisphere Meteorol, Aspendale, Vic 3195, Australia</t>
  </si>
  <si>
    <t>Hirst, AC (corresponding author), CSIRO, Div Atmospher Res, CRC So Hemisphere Meteorol, Aspendale, Vic 3195, Australia.</t>
  </si>
  <si>
    <t>ach@dar.csiro.au</t>
  </si>
  <si>
    <t>Hirst, Anthony/E-2756-2013; Hirst, Anthony/N-1041-2014</t>
  </si>
  <si>
    <t>ELSEVIER SCI LTD</t>
  </si>
  <si>
    <t>THE BOULEVARD, LANGFORD LANE, KIDLINGTON, OXFORD OX5 1GB, OXON, ENGLAND</t>
  </si>
  <si>
    <t>1364-8152</t>
  </si>
  <si>
    <t>ENVIRON MODELL SOFTW</t>
  </si>
  <si>
    <t>Environ. Modell. Softw.</t>
  </si>
  <si>
    <t>10.1016/S1364-8152(98)00075-9</t>
  </si>
  <si>
    <t>Computer Science, Interdisciplinary Applications; Engineering, Environmental; Environmental Sciences; Water Resources</t>
  </si>
  <si>
    <t>Computer Science; Engineering; Environmental Sciences &amp; Ecology; Water Resources</t>
  </si>
  <si>
    <t>171KG</t>
  </si>
  <si>
    <t>WOS:000078862400002</t>
  </si>
  <si>
    <t>Wolff, JO</t>
  </si>
  <si>
    <t>Modelling the Antarctic Circumpolar Current: eddy-dynamics and their parametrization</t>
  </si>
  <si>
    <t>Antarctic Circumpolar Current; dynamics; mesoscale eddies; parametrization</t>
  </si>
  <si>
    <t>BETA-PLANE CHANNEL; OCEAN CIRCULATION MODELS; SOUTHERN-OCEAN; OBSCURANTIST PHYSICS; GENERAL-CIRCULATION; MOMENTUM BALANCE; WIND-DRIVEN; FORM DRAG; PARAMETERIZATION; ATMOSPHERE</t>
  </si>
  <si>
    <t>The Antarctic Circumpolar Current (ACC) is an important and integral part of the global ocean conveyor belt that connects the major ocean basins. Coarse resolution global climate models therefore need a realistic simulation of the ACC in order to correctly transport anomalies of heat and freshwater or geochemical tracers throughout the world ocean. The intrinsic dynamics of the ACC are dominated by the action and effects of the mesoscale eddy field, which cannot be resolved explicitly in climate models. It is therefore necessary to include the eddy field via parametrization of the subgrid scale effects. In this paper we will discuss the sources and sinks of momentum that are involved in the dynamical balance of the ACC, the dominant role the eddy field plays in the momentum and heat balance of the Southern Ocean and give an account of recent attempts to parametrize the effect of the eddy field on the large scale circulation for use in coarse resolution climate models. (C) 1999 Elsevier Science Ltd. All rights reserved.</t>
  </si>
  <si>
    <t>Antarct CRC, Hobart, Tas 7001, Australia</t>
  </si>
  <si>
    <t>Antarct CRC, GPO Box 252-80, Hobart, Tas 7001, Australia.</t>
  </si>
  <si>
    <t>Wolff, Joerg-Olaf/F-8248-2010</t>
  </si>
  <si>
    <t>Wolff, Joerg-Olaf/0000-0001-7037-7688</t>
  </si>
  <si>
    <t>1873-6726</t>
  </si>
  <si>
    <t>10.1016/S1364-8152(98)00083-8</t>
  </si>
  <si>
    <t>WOS:000078862400010</t>
  </si>
  <si>
    <t>Barbini, R; Colao, F; Fantoni, R; Palucci, A; Ribezzo, S</t>
  </si>
  <si>
    <t>VoDinh, T; Spellicy, RL</t>
  </si>
  <si>
    <t>Fluorescence determination of pollutants and natural components in seawater from the on board mobile lidar apparatus</t>
  </si>
  <si>
    <t>ENVIRONMENTAL MONITORING AND REMEDIATION TECHNOLOGIES</t>
  </si>
  <si>
    <t>Conference on Environmental Monitoring and Remediation Technologies</t>
  </si>
  <si>
    <t>NOV 02-05, 1998</t>
  </si>
  <si>
    <t>BOSTON, MA</t>
  </si>
  <si>
    <t>Remote Laser Induced Fluorescence; DOM and phytoplankton fluorescence</t>
  </si>
  <si>
    <t>A shipborne fluorosensor laboratory has been built and used for extensive marine campaigns to monitor the quality of different seawaters including Mediterranean, Northern sea and Antarctic Ross sea. The core of the system is a compact lidar fluorosensor capable of single or dual laser excitation of the target. In the single excitation mode the detection of different chromophores characteristic of water impurities is possible, while the dual laser excitation is necessary to monitor the phytoplankton photosynthetic activity on the chlorophyll emission channel. A lamp spectrofluorometer, a pulsed amplitude fluorometer (PAM) and a solar radiance detector complete the set of instruments on board. Georeferenced data have been collected and released on thematic maps of the different seawater quality parameters (phytoplankton concentration, yellow matter, turbidity, biomass productivity, organic pollutants) remotely and in situ monitored during several marine campaigns.</t>
  </si>
  <si>
    <t>ENEA, Dip Innovaz, Div Fis Applicata, CR Frascati, I-00044 Frascati, Italy</t>
  </si>
  <si>
    <t>Italian National Agency New Technical Energy &amp; Sustainable Economics Development</t>
  </si>
  <si>
    <t>Barbini, R (corresponding author), ENEA, Dip Innovaz, Div Fis Applicata, CR Frascati, CP 65, I-00044 Frascati, Italy.</t>
  </si>
  <si>
    <t>PALUCCI, ANTONIO/0009-0006-9442-1544</t>
  </si>
  <si>
    <t>0-8194-2995-3</t>
  </si>
  <si>
    <t>10.1117/12.339015</t>
  </si>
  <si>
    <t>Engineering, Environmental; Environmental Sciences; Instruments &amp; Instrumentation; Optics</t>
  </si>
  <si>
    <t>Engineering; Environmental Sciences &amp; Ecology; Instruments &amp; Instrumentation; Optics</t>
  </si>
  <si>
    <t>BM82B</t>
  </si>
  <si>
    <t>WOS:000079845100038</t>
  </si>
  <si>
    <t>Carleer, M; Hilton, M; Lamp, T; Reuter, R; Russwurm, GM; Schafer, K; Weber, K; Weitkamp, K; Wolf, JP; Woppowa, L</t>
  </si>
  <si>
    <t>Continuous lidar fluorosensor seawater monitoring during the XIII Italian Antarctic mission</t>
  </si>
  <si>
    <t>ENVIRONMENTAL SENSING AND APPLICATIONS</t>
  </si>
  <si>
    <t>Conference on Environmental Sensing and Applications</t>
  </si>
  <si>
    <t>JUN 14-17, 1999</t>
  </si>
  <si>
    <t>MUNICH, GERMANY</t>
  </si>
  <si>
    <t>phytoplankton; fluorescence; chlorophyll-a; DOM; lidar; Antarctica</t>
  </si>
  <si>
    <t>ATLANTIC-OCEAN; PHOTOSYNTHESIS; PHYTOPLANKTON; FLUORESCENCE; SEA</t>
  </si>
  <si>
    <t>The ENEA mobile fluorosensor laboratory has participated to the XIII Italian Antarctic Mission operating in the oceanographic campaign (RN Italica, Nov.'97-Jan'98). Sea water quality parameters (phytoplankton and yellow matter concentration, turbidity and biomass productivity) have been remotely and in situ monitored during the cruise in the Ross sea and along the Southern Ocean transects up-to New Zealand. Georeferenced data have been collected and released on thematic maps. Algal blooms and temporal variations of the monitored quantities have been reported. Chlorophyll-a fluorescence intensities have been compared with laboratory determinations, the absolute values of conversion factors in have been calculated for spectrofluometric and lidar data.</t>
  </si>
  <si>
    <t>ENEA, Dip INN FIS, CR Frascati, I-00044 Frascati, Rome, Italy</t>
  </si>
  <si>
    <t>Barbini, R (corresponding author), ENEA, Dip INN FIS, CR Frascati, CP 65, I-00044 Frascati, Rome, Italy.</t>
  </si>
  <si>
    <t>0-8194-3307-1</t>
  </si>
  <si>
    <t>10.1117/12.364184</t>
  </si>
  <si>
    <t>Environmental Sciences; Optics</t>
  </si>
  <si>
    <t>Environmental Sciences &amp; Ecology; Optics</t>
  </si>
  <si>
    <t>BN96K</t>
  </si>
  <si>
    <t>WOS:000083674500025</t>
  </si>
  <si>
    <t>Barbini, R; Colao, F; Fantoni, R; Palucci, A; Ribezzo, S; Lazzara, L</t>
  </si>
  <si>
    <t>Spectrofluorometric phytoplankton and sea water characterization during the XIII Italian Antarctic mission</t>
  </si>
  <si>
    <t>phytoplankton; fluorescence; Chl-a; phycobilins; DOM; tyrosine and tryptophan; Antarctica</t>
  </si>
  <si>
    <t>ROSS SEA; EXCITATION; SPECTRA</t>
  </si>
  <si>
    <t>Seawaters detailed spectroscopic analyses were carried out in the ENEA mobile fluorosensor laboratory participating to the oceanographic campaign within the XIII Italian Antarctic Mission (R/V Italica, Nov.'97-Jan'98). A complete set of in-vivo emission and excitation spectra was measured during cruises in the Ross Sea and along Southern Ocean transects up-to New Zealand. Measurements allowed for distinguishing among natural seawater components (tyrosine and tryptophan protein-like substances) and for identifying phytoplankton pigments (Chl-a, b, c, carotenoids, phycoerithrin, and phaeopigments). Georeferenced data have been collected at fixed time intervals and released on thematic maps.</t>
  </si>
  <si>
    <t>Lazzara, Luigi Carlo/C-6838-2012</t>
  </si>
  <si>
    <t>Lazzara, Luigi Carlo/0000-0002-1351-9683; PALUCCI, ANTONIO/0009-0006-9442-1544</t>
  </si>
  <si>
    <t>10.1117/12.364185</t>
  </si>
  <si>
    <t>WOS:000083674500026</t>
  </si>
  <si>
    <t>Zérath, E; Holy, X; Gaud, R; Schmitt, D</t>
  </si>
  <si>
    <t>Decreased serum levels of 1,25-(OH)2vitamin D during 1 year of sunlight deprivation in the Antarctic</t>
  </si>
  <si>
    <t>EUROPEAN JOURNAL OF APPLIED PHYSIOLOGY</t>
  </si>
  <si>
    <t>vitamin D; bone metabolism; osteocalcin; sunshine; Antarctica</t>
  </si>
  <si>
    <t>VITAMIN-D STATUS; BONE GLA PROTEIN; SEASONAL-VARIATION; PARATHYROID-HORMONE; D METABOLITES; HUMAN-SKIN; 25-HYDROXYVITAMIN-D; OSTEOCALCIN; WOMEN; 1,25-DIHYDROXYVITAMIN-D</t>
  </si>
  <si>
    <t>French Antarctic territories harbor bases that are devoted to scientific and technical work. Living and working conditions during 1-year sojourns in such an environment are quite acceptable, but the confinement and the drop in ultraviolet B radiation exposure during winter months raise the problem of preservation of normal vitamin D status. Seasonal variations in 25-hydroxyvitamin D [25(OH)D] levels have been well documented, but the effect of sunshine deprivation on 1,25 dihydroxyvitamin D [1,25(OH)(2)D] levels is quite controversial. The aim of this study was to address this question under the exceptional conditions of lack of sunshine exposure. Fifteen male Caucasian subjects participating in a 1-year mission in Antarctica were investigated. They were subjected to seven blood samplings, one before and six during their sojourn. Serum levels of 25(OH)D, 1,25(OH)(2)D, osteocalcin, and ICTP were measured. We found that levels of 25(OH)D and 1,25(OH)(2)D significantly decreased in these subjects during the mission, minimum levels being observed 10 months after their departure from France. ICTP concentrations did not change throughout this study, but osteocalcin levels were found to be higher at the end of the sojourn than before departure, which could argue for the existence of bone remodeling changes. Further studies are now needed to fully investigate bone metabolism changes and to address the question of vitamin D supplementation during this kind of sojourn.</t>
  </si>
  <si>
    <t>Serv Sante Armees, Inst Med Aerospatiale, F-91223 Bretigny Sur Orge, France; Inst Francais Rech &amp; Technol Polaire, F-29280 Plouzane, France; ESTEC, European Space Agcy, MSM GS, NL-2200 AG Noordwijk, Netherlands</t>
  </si>
  <si>
    <t>European Space Agency</t>
  </si>
  <si>
    <t>Serv Sante Armees, Inst Med Aerospatiale, BP 73, F-91223 Bretigny Sur Orge, France.</t>
  </si>
  <si>
    <t>SPRINGER</t>
  </si>
  <si>
    <t>233 SPRING ST, NEW YORK, NY 10013 USA</t>
  </si>
  <si>
    <t>1439-6319</t>
  </si>
  <si>
    <t>1439-6327</t>
  </si>
  <si>
    <t>EUR J APPL PHYSIOL</t>
  </si>
  <si>
    <t>Eur. J. Appl. Physiol.</t>
  </si>
  <si>
    <t>10.1007/s004210050487</t>
  </si>
  <si>
    <t>Physiology; Sport Sciences</t>
  </si>
  <si>
    <t>154VA</t>
  </si>
  <si>
    <t>WOS:000077908900003</t>
  </si>
  <si>
    <t>Danks, HV</t>
  </si>
  <si>
    <t>Life cycles in polar arthropods - flexible or programmed?</t>
  </si>
  <si>
    <t>EUROPEAN JOURNAL OF ENTOMOLOGY</t>
  </si>
  <si>
    <t>Arctic; Antarctic; polar; insects; arthropods; life-cycle; seasonal; temperature; climate</t>
  </si>
  <si>
    <t>MITE ALASKOZETES-ANTARCTICUS; ARCTIC CHIRONOMIDAE DIPTERA; STORED-PRODUCT MITE; SOUTH-GEORGIA; CRYPTOPYGUS-ANTARCTICUS; TERRESTRIAL ARTHROPODS; OXYGEN-CONSUMPTION; TEMPERATURE; BIOLOGY; INSECTS</t>
  </si>
  <si>
    <t>Climate features that influence life cycles, notably severity, seasonality, unpredictability and variability, are summarized for different polar zones. The zones differ widely in these factors and how they are combined. For example, seasonality is markedly reduced by oceanic influences in the Subantarctic. Information about the life cycles of Arctic and Antarctic arthropods is reviewed to assess the relative contributions of flexibility and programming to life cycles in polar regions. A wide range of life cycles occurs in polar arthropods and, when whole life cycles are considered, fixed or programmed elements are well represented, in contrast to some recent opinions that emphasize the prevalence of flexible or opportunistic responses. Programmed responses ale especially common for controlling the appearance of stages that are sensitive to adverse conditions, such as the reproductive adult. The relative contribution of flexibility and programming to different life cycles is correlated with taxonomic affinity (which establishes the general lifecycle framework for a species), and with climatic zone, the habitats of immature and adult stages, and food.</t>
  </si>
  <si>
    <t>Canadian Museum Nat, Biol Survey Canada Terr Arthropods, Ottawa, ON K1P 6P4, Canada</t>
  </si>
  <si>
    <t>Canadian Museum Nat, Biol Survey Canada Terr Arthropods, POB 3443 Stn D, Ottawa, ON K1P 6P4, Canada.</t>
  </si>
  <si>
    <t>hdanks@mus-nature.ca</t>
  </si>
  <si>
    <t>CZECH ACAD SCI, INST ENTOMOLOGY</t>
  </si>
  <si>
    <t>CESKE BUDEJOVICE</t>
  </si>
  <si>
    <t>BRANISOVSKA 31, CESKE BUDEJOVICE 370 05, CZECH REPUBLIC</t>
  </si>
  <si>
    <t>1802-8829</t>
  </si>
  <si>
    <t>EUR J ENTOMOL</t>
  </si>
  <si>
    <t>Eur. J. Entomol.</t>
  </si>
  <si>
    <t>Entomology</t>
  </si>
  <si>
    <t>221TJ</t>
  </si>
  <si>
    <t>WOS:000081742200002</t>
  </si>
  <si>
    <t>Vernon, P; Caron, F; Davies, L</t>
  </si>
  <si>
    <t>Annual activity of two endemic beetles (Carabidae) at the edge between fell-field and moorland on a sub-Antarctic island</t>
  </si>
  <si>
    <t>EUROPEAN JOURNAL OF SOIL BIOLOGY</t>
  </si>
  <si>
    <t>Coleoptera; Carabidae; activity; pitfall trap; sub-Antarctic</t>
  </si>
  <si>
    <t>SOUTH GEORGIA; LIFE-CYCLES</t>
  </si>
  <si>
    <t>At Ile de la Possession (Iles Crozet), an Indian Ocean sub-Antarctic island, the two typical habitats are the fell-field above 150 m in altitude and the moorland in low altitude zones. The boundary between fell-field and moorland is usually very sharp (less than 5 m). This paper presents the first full-year pitfall trapping study of insect activity on both sides of this boundary, with particular reference to the habitat distribution and annual distribution of surface activity of the two endemic carabids of Iles Crozet: Amblystogenium pacificum Putzeys and A. minimum Luff. A. pacificum was abundant in moorland (399 specimens) while A. minimum was vanishingly rare (three specimens). In fell-field in contrast, both species were taken in similar although small numbers (86 and 92, respectively). A. pacificum? remained active in the moorland for the whole year, with no winter reduction in trap catches. Pitfall trapping results also showed no surface activity by A. pacificum in winter on fell-field, where both sexes here likely maintain the required level of both feeding and mate encounter in the inter-stone crevices of the multi layered stony part of the fell-field. (C) 1999 Editions scientifiques et medicales Elsevier SAS.</t>
  </si>
  <si>
    <t>Univ Rennes 1, CNRS, UMR 6553, Biol Stn, F-35380 Paimpont, France</t>
  </si>
  <si>
    <t>Centre National de la Recherche Scientifique (CNRS); CNRS - Institute of Ecology &amp; Environment (INEE); Universite de Rennes</t>
  </si>
  <si>
    <t>Vernon, P (corresponding author), Univ Rennes 1, CNRS, UMR 6553, Biol Stn, F-35380 Paimpont, France.</t>
  </si>
  <si>
    <t>philippe.vernon@univ-rennes1.fr</t>
  </si>
  <si>
    <t>Vernon, Philippe/A-9019-2010</t>
  </si>
  <si>
    <t>Vernon, Philippe/0000-0002-6237-7511</t>
  </si>
  <si>
    <t>GAUTHIER-VILLARS/EDITIONS ELSEVIER</t>
  </si>
  <si>
    <t>23 RUE LINOIS, 75015 PARIS, FRANCE</t>
  </si>
  <si>
    <t>1164-5563</t>
  </si>
  <si>
    <t>EUR J SOIL BIOL</t>
  </si>
  <si>
    <t>Eur. J. Soil Biol.</t>
  </si>
  <si>
    <t>JAN-MAR</t>
  </si>
  <si>
    <t>10.1016/S1164-5563(99)00101-6</t>
  </si>
  <si>
    <t>Ecology; Soil Science</t>
  </si>
  <si>
    <t>Environmental Sciences &amp; Ecology; Agriculture</t>
  </si>
  <si>
    <t>274FA</t>
  </si>
  <si>
    <t>WOS:000084752000006</t>
  </si>
  <si>
    <t>Murphy, EJ; Rodhouse, PG</t>
  </si>
  <si>
    <t>Rapid selection effects in a short-lived semelparous squid species exposed to exploitation: inferences from the optimisation of life-history functions</t>
  </si>
  <si>
    <t>EVOLUTIONARY ECOLOGY</t>
  </si>
  <si>
    <t>Illex argentinus; life-history; optimisation; selection; squid</t>
  </si>
  <si>
    <t>ILLEX-ARGENTINUS MOLLUSCA; AGE; CEPHALOPODA; MANAGEMENT; EVOLUTION; DYNAMICS; GROWTH; WATERS; STOCKS; GONAD</t>
  </si>
  <si>
    <t>The short life span of cephalopods suggests a potential for high sensitivity to the artificial selective effects of human exploitation. To explore the effects of such selection life-history optimisation was applied using data for a semelparous squid, Illex argentinus with a life span of one year. Survival and fecundity functions were combined to generate a life time reproductive potential function. The maximum reproductive potential identified the optimum age for the squid to mature. In a situation of a constant mortality rate the maximum reproductive potential was achieved at an earlier age of maturation as mortality rate increased. The exact age when the optimum maturation occurs is sensitive to the rate of mortality and the form of the assumed growth curve but covers the age range when maturation is known to occur in this species. A more realistic seasonal fishing mortality function produced a more complex fitness curve with a temporally more restricted optimal age of maturity. The selection effects will be stronger in a seasonal fishery suggesting potentially very rapid evolutionary rates. Developing analyses specifically considering frequency-dependence and environmental-feedbacks will be valuable to clarify the potential of squid to show rapid evolutionary responses to selection. Strong selection for early age of maturation could affect the yield from the fishery but more importantly, could also make the migratory strategy, on which the fishery is based, an unviable option, resulting in collapse of the fishery that exploits the migratory component of the species.</t>
  </si>
  <si>
    <t>British Antarctic Survey, NERC, Cambridge, England.</t>
  </si>
  <si>
    <t>e.murphy@bas.ac.uk</t>
  </si>
  <si>
    <t>murphy, eugene/GZL-1620-2022</t>
  </si>
  <si>
    <t>Rodhouse, Paul/0000-0001-5399-967X</t>
  </si>
  <si>
    <t>DORDRECHT</t>
  </si>
  <si>
    <t>VAN GODEWIJCKSTRAAT 30, 3311 GZ DORDRECHT, NETHERLANDS</t>
  </si>
  <si>
    <t>0269-7653</t>
  </si>
  <si>
    <t>1573-8477</t>
  </si>
  <si>
    <t>EVOL ECOL</t>
  </si>
  <si>
    <t>Evol. Ecol.</t>
  </si>
  <si>
    <t>10.1023/A:1006783902331</t>
  </si>
  <si>
    <t>Ecology; Evolutionary Biology; Genetics &amp; Heredity</t>
  </si>
  <si>
    <t>Environmental Sciences &amp; Ecology; Evolutionary Biology; Genetics &amp; Heredity</t>
  </si>
  <si>
    <t>375BC</t>
  </si>
  <si>
    <t>WOS:000165378800001</t>
  </si>
  <si>
    <t>Balanyá, JC; Galindo-Zaldívar, J; Jabaloy, A; Leitchenkov, G; Maldonado, A; Rodríguez-Fernández, J; Vinnikovskaya, O</t>
  </si>
  <si>
    <t>Structure of the South Powell ridge (NE Antarctic peninsula):: new clues for changing tectonic regimes near the Scotia/Antarctica plate boundary</t>
  </si>
  <si>
    <t>GEO-MARINE LETTERS</t>
  </si>
  <si>
    <t>WEDDELL SEA; BASIN; OCEAN</t>
  </si>
  <si>
    <t>The structure of the South Powell Ridge (SPR), separating the Late Cenozoic ocean-floored Powell Basin and the Mesozoic Weddell Sea domain, is revealed by multichannel seismic data. The SPR appears as a basement high, bounded northward by transtensional faults and by normal and major reverse faults to the south. These margin features seem to be linked to the Powell Basin southern strike-slip margin and to the Jane Are paleotrench, respectively. We suggest the ridge evolved from the Antarctic Peninsula passive margin to become the deformational front of the Scotia/Antarctica Plate boundary, later being welded to the Antarctic Plate.</t>
  </si>
  <si>
    <t>Univ Granada, Dept Geodinam, E-18071 Granada, Spain; Univ Granada, CSIC, Inst Andaluz Ciencias Tierra, E-18071 Granada, Spain; All Russia Res Inst Geol &amp; Mineral Resources Worl, St Petersburg 190121, Russia; State Enterprise Marine Arctic Geol Expedit, Murmansk 183012, Russia</t>
  </si>
  <si>
    <t>University of Granada; Consejo Superior de Investigaciones Cientificas (CSIC); CSIC - Instituto Andaluz de Ciencias de la Tierra (IACT); University of Granada; A.P. Karpinsky Russian Geological Research Institute (VSEGEI)</t>
  </si>
  <si>
    <t>Balanyá, JC (corresponding author), Univ Granada, Dept Geodinam, E-18071 Granada, Spain.</t>
  </si>
  <si>
    <t>Galindo-Zaldivar, Jesus/K-3640-2012; JABALOY SANCHEZ, ANTONIO/L-2955-2014; RODRIGUEZ-FERNANDEZ, JOSE/L-7077-2014</t>
  </si>
  <si>
    <t>Galindo-Zaldivar, Jesus/0000-0002-3493-2637; JABALOY SANCHEZ, ANTONIO/0000-0001-5830-5913; RODRIGUEZ-FERNANDEZ, JOSE/0000-0003-0349-9209; Balanya Roure, Juan Carlos/0000-0001-6008-4718</t>
  </si>
  <si>
    <t>SPRINGER VERLAG</t>
  </si>
  <si>
    <t>175 FIFTH AVE, NEW YORK, NY 10010 USA</t>
  </si>
  <si>
    <t>0276-0460</t>
  </si>
  <si>
    <t>GEO-MAR LETT</t>
  </si>
  <si>
    <t>Geo-Mar. Lett.</t>
  </si>
  <si>
    <t>10.1007/s003670050071</t>
  </si>
  <si>
    <t>Geosciences, Multidisciplinary; Oceanography</t>
  </si>
  <si>
    <t>Geology; Oceanography</t>
  </si>
  <si>
    <t>168DB</t>
  </si>
  <si>
    <t>WOS:000078674800006</t>
  </si>
  <si>
    <t>Sheppard, DS; Rogers, KM; Graham, IJ; Ditchburn, RG; Claridge, GGC; Campbell, IB</t>
  </si>
  <si>
    <t>Armannsson, H</t>
  </si>
  <si>
    <t>Salt accumulations in ancient Antarctic soils</t>
  </si>
  <si>
    <t>GEOCHEMISTRY OF THE EARTH'S SURFACE</t>
  </si>
  <si>
    <t>5th International Symposium on Geochemistry of the Earth Surface</t>
  </si>
  <si>
    <t>AUG 16-20, 1999</t>
  </si>
  <si>
    <t>DEPOSITS; ORIGIN</t>
  </si>
  <si>
    <t>The anions in salts in ancient soils are derived from atmospheric fallout over the last 15 million years or less. The salt compositions are related to altitude and distance from open sea, and so a climatic record may be preserved in these profiles. Be-10 dating techniques have been developed and are confirming the ages derived by other methods. The isotopic compositions of nitrate are most unusual and may reflect a unique pathway from a distant open ocean source.</t>
  </si>
  <si>
    <t>Inst Geol &amp; Nucl Sci, Lower Hutt, New Zealand</t>
  </si>
  <si>
    <t>GNS Science - New Zealand</t>
  </si>
  <si>
    <t>Sheppard, DS (corresponding author), Inst Geol &amp; Nucl Sci, Lower Hutt, New Zealand.</t>
  </si>
  <si>
    <t>Rogers, Karyne/ABF-9317-2021</t>
  </si>
  <si>
    <t>Rogers, Karyne/0000-0001-8464-4337</t>
  </si>
  <si>
    <t>A A BALKEMA PUBLISHERS</t>
  </si>
  <si>
    <t>LEIDEN</t>
  </si>
  <si>
    <t>SCHIPHOLWEG 107C, PO BOX 447, 2316 XC LEIDEN, NETHERLANDS</t>
  </si>
  <si>
    <t>90-5809-073-6</t>
  </si>
  <si>
    <t>Geochemistry &amp; Geophysics; Geosciences, Multidisciplinary</t>
  </si>
  <si>
    <t>Geochemistry &amp; Geophysics; Geology</t>
  </si>
  <si>
    <t>BN63U</t>
  </si>
  <si>
    <t>WOS:000082439800014</t>
  </si>
  <si>
    <t>Morse, DL; Waddington, ED; Marshall, HP; Neumann, TA; Steig, EJ; Dibb, JE; Winebrenner, DP; Arthern, RJ</t>
  </si>
  <si>
    <t>Accumulation rate measurements at Taylor Dome, East Antarctica: Techniques and strategies for mass balance measurements in polar environments</t>
  </si>
  <si>
    <t>GEOGRAFISKA ANNALER SERIES A-PHYSICAL GEOGRAPHY</t>
  </si>
  <si>
    <t>ICE-SHEET; CENTRAL GREENLAND; SOUTH-POLE; CORES; ELEVATION; BE-10</t>
  </si>
  <si>
    <t>Accumulation rate measurements on the East Antarctic plateau are challenging due to both spatial and temporal variability. Annual stratigraphy is often not reliably or consistently preserved in the firn, and so accumulation cannot be determined from snow pit stratigraphy. We present a suite of accumulation rate measurements collected over several seasons at Taylor Dome, East Antarctica. We compare net accumulation results from direct burial rate measurements and beta-activity firn cores along a 35 km traverse. The two methods are consistent and show that the net accumulation varies from greater than 10 cm a(-1) to about 1 cm a(-1) (ice equivalent) southwest to northeast across the dome. We map the depth of shallow radar layering to interpolate and extrapolate these point-location measurements and show that considerable variations occur over kilometer scales resulting from subtle surface topography. We also present accumulation rates estimated from concentration of the cosmogenic isotope (10)Be and from activity profiles of (210)Pb. Finally, satellite passive microwave data are used to estimate spatially averaged accumulation rates on the regional to continental scale to provide a context for these local observations. We show that robust mass balance measurements in this environment must rely on spatial and/or temporal averaging.</t>
  </si>
  <si>
    <t>Univ Washington, Geophys Program, Seattle, WA 98195 USA; Univ Washington, Dept Geol, Seattle, WA 98195 USA; Univ New Hampshire, CCRC EOS, Durham, NH 03824 USA; Univ Washington, Appl Phys Lab, Seattle, WA 98105 USA</t>
  </si>
  <si>
    <t>University of Washington; University of Washington Seattle; University of Washington; University of Washington Seattle; University System Of New Hampshire; University of New Hampshire; University of Washington; University of Washington Seattle</t>
  </si>
  <si>
    <t>Morse, DL (corresponding author), Univ Texas, Inst Geophys, 4412 Spicewood Springs Rd,Bldg 600, Austin, TX 78759 USA.</t>
  </si>
  <si>
    <t>Neumann, Thomas/D-5264-2012; Neumann, Thomas/JLL-4672-2023; Marshall, Hans-Peter/A-2374-2010; /G-9088-2015</t>
  </si>
  <si>
    <t>Marshall, Hans-Peter/0000-0002-4852-5637; /0000-0002-8191-5549</t>
  </si>
  <si>
    <t>WILEY-BLACKWELL</t>
  </si>
  <si>
    <t>MALDEN</t>
  </si>
  <si>
    <t>COMMERCE PLACE, 350 MAIN ST, MALDEN 02148, MA USA</t>
  </si>
  <si>
    <t>0435-3676</t>
  </si>
  <si>
    <t>GEOGR ANN A</t>
  </si>
  <si>
    <t>Geogr. Ann. Ser. A-Phys. Geogr.</t>
  </si>
  <si>
    <t>81A</t>
  </si>
  <si>
    <t>Geography, Physical; Geology</t>
  </si>
  <si>
    <t>Physical Geography; Geology</t>
  </si>
  <si>
    <t>279HE</t>
  </si>
  <si>
    <t>WOS:000085037700022</t>
  </si>
  <si>
    <t>Riley, TR; Leat, PT</t>
  </si>
  <si>
    <t>Large volume silicic volcanism along the proto-Pacific margin of Gondwana: lithological and stratigraphical investigations from the Antarctic Peninsula</t>
  </si>
  <si>
    <t>GEOLOGICAL MAGAZINE</t>
  </si>
  <si>
    <t>FLOOD BASALTS; GRAHAM LAND; PALMER-LAND; NEW-ZEALAND; BREAK-UP; PETROGENESIS; MAGMATISM; GEOCHRONOLOGY; GENERATION; RHYOLITES</t>
  </si>
  <si>
    <t>Jurassic magmatism in western Gondwana produced the most voluminous episode of continental volcanism in the Phanerozoic era During the Early to Middle Jurassic, some 2.5-3 million km(3) of dominantly basalt, and to a lesser extent rhyolite, were erupted onto a supercontinent in the early stages of break-up. The major silicic portion of the Gondwana magmatic province is exposed in Patagonian South America. The volcanic rocks of Patagonia have been collectively termed the Chon-Aike Province and constitute one of the world's most voluminous silicic provinces. The volcanic rocks are predominantly pyroclastic, dominated by ignimbrite units of rhyolite composition. Volcanic rocks crop out sporadically across much of the once contiguous Antarctic Peninsula, and are considered to form an extension of the Chon-Aike Province. A continuation of the province to include the Antarctic Peninsula would extend its strike length along the active Pacific margin by c. 2000 km. Volcanic rocks exposed along the east coast of the Antarctic Peninsula, defined here as the Mapple Formation, are also dominated by rhyolitic ignimbrite flows, with individual units up to 80 m in thickness, and a total thickness of c. I lan. The ignimbrites vary in degree of welding, from high-grade rheomorphic ignimbrites with parataxitic textures, to unwelded, lithic-rich ignimbrites. Rhyolite lava flows, air-fall horizons, debris flow deposits and epiclastic deposits are volumetrically minor, occurring as interbedded units within the ignimbrite succession. The lithology and stratigraphy of the Jurassic volcanic rocks of the Mapple Formation are presented, and comparisons are made to the Chon-Aike Province. A consistent stratigraphy of Permo-Triassic metasedimentary rocks, unconformably overlain by terrestrial mudstone-siltstone sequences, which are in turn conformably overlain by largely silicic, subaerial volcanic rocks, is present at several localities along the Antarctic Peninsula, and at localities in the Chon-Aike Province. Precise (zircon U-Pb) Middle Jurassic ages exist for two volcanic formations from the Antarctic Peninsula, and a Middle-Lower Jurassic age has been suggested for the underlying sedimentary formations based on fossil flora analysis. The Antarctic Peninsula chronostratigraphy, coupled with lithological similarities, indicate a close relationship to those sequences of the Chon-Aike province.</t>
  </si>
  <si>
    <t>British Antarctic Survey, NERC, Cambridge CB3 0ET, England</t>
  </si>
  <si>
    <t>Riley, TR (corresponding author), British Antarctic Survey, NERC, High Cross,Madingley Rd, Cambridge CB3 0ET, England.</t>
  </si>
  <si>
    <t>t.riley@bas.ac.uk</t>
  </si>
  <si>
    <t>Riley, Teal/0000-0002-3333-5021</t>
  </si>
  <si>
    <t>CAMBRIDGE UNIV PRESS</t>
  </si>
  <si>
    <t>40 WEST 20TH STREET, NEW YORK, NY 10011-4211 USA</t>
  </si>
  <si>
    <t>0016-7568</t>
  </si>
  <si>
    <t>GEOL MAG</t>
  </si>
  <si>
    <t>Geol. Mag.</t>
  </si>
  <si>
    <t>10.1017/S0016756899002265</t>
  </si>
  <si>
    <t>174BY</t>
  </si>
  <si>
    <t>WOS:000079015300001</t>
  </si>
  <si>
    <t>Ikeda, T; Fukazawa, H; Mae, S; Pepin, L; Duval, P; Champagnon, B; Lipenkov, VY; Hondoh, T</t>
  </si>
  <si>
    <t>Extreme fractionation of gases caused by formation of clathrate hydrates in Vostok Antarctic ice</t>
  </si>
  <si>
    <t>GEOPHYSICAL RESEARCH LETTERS</t>
  </si>
  <si>
    <t>AIR BUBBLES; SELF-INTERSTITIALS; ATMOSPHERIC CO2; CORE; RECORD; DIFFUSION; NITROGEN; CRYSTALS; METHANE</t>
  </si>
  <si>
    <t>Atmospheric gases are trapped in ice sheets. These gases stored in air-bubbles at shallower depth are gradually transformed into clathrate hydrates below the depth where the hydrostatic pressure exceeds the dissociation pressure of the clathrate hydrates. We measured Raman spectra of air-bubbles and clathrate hydrates in Vostok Antarctic ice cores in order to determine the fractionation effects on the concentrations of gases during their transition process. The results showed variations of the N-2/O-2 ratios with depth. The average N2/O2 ratio in the air-bubbles increases from the atmospheric value at the beginning of the transition to 11.7 at the end. The average N-2/O-2 ratio for the clathrate hydrates is 2.0 at the beginning, and asymptotically approaches the atmospheric value. This fractionation is attributed to faster diffusion of O-2 than N-2 through the ice lattice.</t>
  </si>
  <si>
    <t>Hokkaido Univ, Fac Engn, Dept Appl Phys, Sapporo, Hokkaido 0608628, Japan; Lab Glaciol &amp; Geophys Environm, CNRS, F-38402 St Martin Dheres, France; Univ Lyon 1, Lab Physicochim Mat Luminescents, F-69622 Villeurbanne, France; Arctic &amp; Antarctic Res Inst, St Petersburg 199226, Russia; Hokkaido Univ, Inst Low Temp Sci, Sapporo, Hokkaido 0600819, Japan</t>
  </si>
  <si>
    <t>Hokkaido University; Centre National de la Recherche Scientifique (CNRS); Universite Claude Bernard Lyon 1; Arctic &amp; Antarctic Research Institute; Hokkaido University</t>
  </si>
  <si>
    <t>Ikeda, T (corresponding author), Hokkaido Univ, Fac Engn, Dept Appl Phys, N13,W8 Sapporo, Sapporo, Hokkaido 0608628, Japan.</t>
  </si>
  <si>
    <t>HONDOH, Takeo/E-7551-2011; Lipenkov, Vladimir/Q-8262-2016</t>
  </si>
  <si>
    <t>HONDOH, Takeo/0000-0003-4129-022X; Lipenkov, Vladimir/0000-0003-4221-5440</t>
  </si>
  <si>
    <t>AMER GEOPHYSICAL UNION</t>
  </si>
  <si>
    <t>WASHINGTON</t>
  </si>
  <si>
    <t>2000 FLORIDA AVE NW, WASHINGTON, DC 20009 USA</t>
  </si>
  <si>
    <t>0094-8276</t>
  </si>
  <si>
    <t>GEOPHYS RES LETT</t>
  </si>
  <si>
    <t>Geophys. Res. Lett.</t>
  </si>
  <si>
    <t>JAN 1</t>
  </si>
  <si>
    <t>10.1029/1998GL900220</t>
  </si>
  <si>
    <t>158MF</t>
  </si>
  <si>
    <t>WOS:000078118700024</t>
  </si>
  <si>
    <t>Le Meur, E; Huybrechts, P</t>
  </si>
  <si>
    <t>Present-day uplift patterns over Greenland from a coupled ice-sheet visco-elastic bedrock model (vol 25, pg 3951, 1998)</t>
  </si>
  <si>
    <t>Correction</t>
  </si>
  <si>
    <t>In the paper Present-day uplift patterns over Greenland from a coupled ice-sheet/visco-elastic bedrock model by E. Le Meur and P. Huybrechts, Geophysical Research Letters, 25 [21], 3951-3954, negative signs were omitted from several equations in the print edition. The affected sections are included below in their entirety:</t>
  </si>
  <si>
    <t>Alfred Wegener Inst Polar &amp; Meeresforsch, Bremerhaven, Germany; Free Univ Brussels, Dept Geog, B-1050 Brussels, Belgium</t>
  </si>
  <si>
    <t>Helmholtz Association; Alfred Wegener Institute, Helmholtz Centre for Polar &amp; Marine Research; Universite Libre de Bruxelles</t>
  </si>
  <si>
    <t>Le Meur, E (corresponding author), British Antarctic Survey, Madingley Rd, Cambridge CB3 0ET, England.</t>
  </si>
  <si>
    <t>Huybrechts, Philippe/J-5278-2013</t>
  </si>
  <si>
    <t>Huybrechts, Philippe/0000-0003-1406-0525</t>
  </si>
  <si>
    <t>10.1029/1998GL900263</t>
  </si>
  <si>
    <t>Bronze, Green Submitted</t>
  </si>
  <si>
    <t>WOS:000078118700036</t>
  </si>
  <si>
    <t>Childers, VA; Bell, RE; Brozena, JM</t>
  </si>
  <si>
    <t>Airborne gravimetry: An investigation of filtering</t>
  </si>
  <si>
    <t>GEOPHYSICS</t>
  </si>
  <si>
    <t>Low-pass filtering in airborne gravimetry data processing plays a fundamental role in determining the spectral content and amplitude of the free-air anomaly. Traditional filters used in airborne gravimetry, the 6 x 20-s resistor-capacitor (RC) filter and the 300-s Gaussian filter, heavily attenuate the waveband of the gravity signal. As we strive to reduce the overall error budget to the sub-mGal level, an important step is to evaluate the choice and design of the low-pass filter employed in airborne gravimetry to optimize gravity anomaly recovery and noise attenuation. This study evaluates low-pass filtering options and presents a survey-specific frequency domain filter that employs the fast Fourier transform (FET) for airborne gravity data. This study recommends a new approach to low-pass filtering airborne data. For a given survey, the filter is designed to maximize the target gravity signal based upon survey parameters and the character of measurement noise. This survey-specific low-pass filter approach is applied to two aerogravimetry surveys: one conducted in West Antarctica and the other in the eastern Pacific off the California coast. A reflight comparison with the West Antarctic survey shows that anomaly amplitudes are increased while slightly improving the rms fit between the reflown survey lines when an appropriately designed FFT filter is employed instead of the traditionally used filters. A comparison of the East Pacific survey with high-resolution shipboard gravity data indicates anomaly amplitude improvements of up to 20 mGal and a 49% improvement of the rms fit from 3.99 mGal to 2.04 mGal with the appropriately designed FFT filter. These results demonstrate that substantial improvement in anomaly amplitude and wavelength can be attained by tailoring the filter to the survey.</t>
  </si>
  <si>
    <t>Columbia Univ, Lamont Doherty Geol Observ, Dept Earth &amp; Environm Sci, Palisades, NY 10964 USA</t>
  </si>
  <si>
    <t>Columbia University</t>
  </si>
  <si>
    <t>USN, Res Lab, 4555 Overlook Ave SW,Code 7420, Washington, DC 20375 USA.</t>
  </si>
  <si>
    <t>vicki@qur.nrl.navy.mil; robinb@ldeo.columbia.edu; john@qur.nrl.navy.mil</t>
  </si>
  <si>
    <t>SOC EXPLORATION GEOPHYSICISTS - SEG</t>
  </si>
  <si>
    <t>TULSA</t>
  </si>
  <si>
    <t>8801 S YALE ST, TULSA, OK 74137 USA</t>
  </si>
  <si>
    <t>0016-8033</t>
  </si>
  <si>
    <t>1942-2156</t>
  </si>
  <si>
    <t>Geophysics</t>
  </si>
  <si>
    <t>JAN-FEB</t>
  </si>
  <si>
    <t>10.1190/1.1444530</t>
  </si>
  <si>
    <t>163FU</t>
  </si>
  <si>
    <t>Green Published</t>
  </si>
  <si>
    <t>WOS:000078394200005</t>
  </si>
  <si>
    <t>Socha, BJ; Colgan, PM; Mickelson, DM</t>
  </si>
  <si>
    <t>Mickelson, DM; Attig, JW</t>
  </si>
  <si>
    <t>Ice-surface profiles and bed conditions of the Green Bay Lobe from 13,000 to 11,000 14C-years BP</t>
  </si>
  <si>
    <t>GLACIAL PROCESSES PAST AND PRESENT</t>
  </si>
  <si>
    <t>GEOLOGICAL SOCIETY OF AMERICA SPECIAL PAPERS</t>
  </si>
  <si>
    <t>Meeting of the North-Central-Geological-Society-of-America/Midwest Glaciology</t>
  </si>
  <si>
    <t>MADISON, WI</t>
  </si>
  <si>
    <t>STREAM-B; ANTARCTICA; WISCONSIN; DYNAMICS; BENEATH; EVENTS; SHEETS</t>
  </si>
  <si>
    <t>Between 13,000 and 11,000 C-14-years B.P. the Chilton and Glenmore advances of the Green Bay Lobe deposited reddish brown clay till in eastern Wisconsin, Reconstruction of ice-surface slopes for these two advances using end-moraine elevations indicates that ice was thin and gently sloping, and that driving stresses were low, During the pre-Twocreekan (i.e., &gt;12,500 C-14-years B.P.) Chilton advance, ice in the main part of the lobe, in the Lake Winnebago lowland, had an average surface slope of about 2m/km, and was &lt;200 m thick within 35 km of the terminus, The driving stress was about 2 kPa, Ice that protruded southeastward about 20 km into the Brillion basin as a small sublobe had an average surface slope of about 3m/km, and was &lt;150 m thick, The driving stress was about 3 kPa, Ice that advanced over the Silurian escarpment had an average surface slope of about 11m/km, was &lt;150 m thick, and had a driving stress of about 12 kPa within a few kilometers of the terminus, The post-Twocreekan Glenmore advance did not extend as far into Lake Winnebago and the Brillion basin, nor as far onto the Silurian escarpment as the earlier Chilton advance. The Glenmore ice had average slopes of 2-3m/km, a driving stress of about 2 kPa, and a thickness of &lt;150 m within 15 km of the terminus. The driving stress for both was somewhat lower than earlier advances of the Green Bay Lobe, which had driving stresses of 5 to 25 kPa, The rebound history of the area is complex and no adjustments have been made for isostatic deformation. The ice configurations during the Chilton and Glenmore advances reflect basal sliding and/or subglacial sediment deformation, probably due to the high subglacial water pressure that developed in the lake sediment and underlying shale and dolomite in the Lake Winnebago lowland and the Brillion basin, It is possible that the margin configurations do not reflect the terminus of a steady state glacier, but rather the terminus of a surging glacier. We conclude that the low sloping ice at the margin of the Green Bay Lobe indicates bed conditions similar to those found beneath an ice plain of a West Antarctic ice stream.</t>
  </si>
  <si>
    <t>Univ Wisconsin, Dept Geol &amp; Geophys, Madison, WI 53706 USA</t>
  </si>
  <si>
    <t>University of Wisconsin System; University of Wisconsin Madison</t>
  </si>
  <si>
    <t>Socha, BJ (corresponding author), Univ Wisconsin, Dept Geol &amp; Geophys, 1215 Dayton St, Madison, WI 53706 USA.</t>
  </si>
  <si>
    <t>Colgan, Patrick/R-7099-2019</t>
  </si>
  <si>
    <t>GEOLOGICAL SOC AMER INC</t>
  </si>
  <si>
    <t>BOULDER</t>
  </si>
  <si>
    <t>3300 PENROSE PL, PO BOX 9140, BOULDER, CO 80301 USA</t>
  </si>
  <si>
    <t>0-8137-2337-X</t>
  </si>
  <si>
    <t>GEOL S AM S</t>
  </si>
  <si>
    <t>Geology; Geosciences, Multidisciplinary</t>
  </si>
  <si>
    <t>BP67E</t>
  </si>
  <si>
    <t>WOS:000085824300014</t>
  </si>
  <si>
    <t>Smith, I</t>
  </si>
  <si>
    <t>Estimating mass balance components of the Greenland ice sheet from a long-term GCM simulation</t>
  </si>
  <si>
    <t>GLOBAL AND PLANETARY CHANGE</t>
  </si>
  <si>
    <t>Greenland; GCM; mass balance; sea-level</t>
  </si>
  <si>
    <t>GLOBAL CLIMATE MODEL; ANTARCTIC CLIMATE; PRECIPITATION</t>
  </si>
  <si>
    <t>The results from long term (1950-1991) climate simulations with an atmospheric general circulation model forced by observed sea surface temperatures are analysed for the Greenland ice sheer. Both annual mean values and the seasonal cycle of key variables including temperature, precipitation, evaporation and snow depth are presented and compared with available observational data. The results indicate that many of the large scale climatic features can be simulated implying that, if all relevant statistics are saved, it is possible to obtain realistic estimates of the key terms which determine the net balance of the ice sheet. Where the available statistics permit, estimates are provided of these terms including an estimate of the effect that temperature might have on the overall mass balance. The relationship between temperature and changes in total stored water is investigated by considering seasonal changes to the simulated snow pack depth. These imply that the loss of total stored water increases by about 7 km(3) per degree increase in temperature over the early part of summer. The results indicate that the accumulation rate may have decreased over the period 1950-1991 due to cooling of the surrounding oceans. The sensitivity to temperature over this time indicates that the accumulation rate increases/decreases by about 65 mm(we) per year per degree of warming/cooling. The results do not include estimates of total melt, but existing estimates suggest that the sensitivity to temperature is at least as great as that for accumulation. This implies that the overall mass balance may have increased over the period 1950-1991 but will decrease if warming occurs in the future. (C) 1999 Elsevier Science B.V. All rights reserved.</t>
  </si>
  <si>
    <t>CSIRO, Div Atmospher Res, Aspendale, Vic 3195, Australia</t>
  </si>
  <si>
    <t>Smith, I (corresponding author), CSIRO, Div Atmospher Res, PMB 1, Aspendale, Vic 3195, Australia.</t>
  </si>
  <si>
    <t>Smith, Ian/A-1708-2012</t>
  </si>
  <si>
    <t>ELSEVIER SCIENCE BV</t>
  </si>
  <si>
    <t>AMSTERDAM</t>
  </si>
  <si>
    <t>PO BOX 211, 1000 AE AMSTERDAM, NETHERLANDS</t>
  </si>
  <si>
    <t>0921-8181</t>
  </si>
  <si>
    <t>GLOBAL PLANET CHANGE</t>
  </si>
  <si>
    <t>Glob. Planet. Change</t>
  </si>
  <si>
    <t>10.1016/S0921-8181(98)00060-5</t>
  </si>
  <si>
    <t>Geography, Physical; Geosciences, Multidisciplinary</t>
  </si>
  <si>
    <t>158AW</t>
  </si>
  <si>
    <t>WOS:000078094700002</t>
  </si>
  <si>
    <t>Tregoning, P; Twilley, B; Hendy, M; Zwartz, D</t>
  </si>
  <si>
    <t>Tregoning, Paul; Twilley, Bob; Hendy, Martin; Zwartz, Dan</t>
  </si>
  <si>
    <t>Monitoring Isostatic Rebound in Antarctica with the Use of Continuous Remote GPS Observations</t>
  </si>
  <si>
    <t>GPS SOLUTIONS</t>
  </si>
  <si>
    <t>Summer Season; Glacial Maximum; Solar Power; Height Estimate; Isostatic Rebound</t>
  </si>
  <si>
    <t>A solar-powered GPS receiver has been installed near Beaver Lake, Antarctica, to monitor postglacial isostatic rebound that may be occurring as a result of ice thinning near the Lambert Glacier since the last glacial maximum. The equipment is 400 km from the nearest Australian Antarctic base and is completely automated. It is expected that there will be sufficient solar power to operate the equipment from January 1998 to May 1998, but the data will not be recovered until the following summer season. The scatter in height computed from the first 25 days of data is +/- 7.5 mm. If such precision is representative of the accuracy of the height estimates, isostatic rebound of &lt; 1 mm/yr will be able to be detected after a few years of observations at the site. (c) 1999 John Wiley &amp; Sons, Inc.</t>
  </si>
  <si>
    <t>[Tregoning, Paul; Zwartz, Dan] Australian Natl Univ, Res Sch Earth Sci, Canberra, ACT, Australia; [Twilley, Bob; Hendy, Martin] Australian Surveying &amp; Land Informat Grp, Canberra, ACT, Australia</t>
  </si>
  <si>
    <t>Australian National University</t>
  </si>
  <si>
    <t>Tregoning, P (corresponding author), Australian Natl Univ, Res Sch Earth Sci, Canberra, ACT, Australia.</t>
  </si>
  <si>
    <t>pault@rses.anu.edu.au</t>
  </si>
  <si>
    <t>Tregoning, Paul/N-4842-2018</t>
  </si>
  <si>
    <t>Tregoning, Paul/0000-0001-7192-5391</t>
  </si>
  <si>
    <t>SPRINGER HEIDELBERG</t>
  </si>
  <si>
    <t>HEIDELBERG</t>
  </si>
  <si>
    <t>TIERGARTENSTRASSE 17, D-69121 HEIDELBERG, GERMANY</t>
  </si>
  <si>
    <t>1080-5370</t>
  </si>
  <si>
    <t>1521-1886</t>
  </si>
  <si>
    <t>GPS SOLUT</t>
  </si>
  <si>
    <t>GPS Solut.</t>
  </si>
  <si>
    <t>10.1007/PL00012759</t>
  </si>
  <si>
    <t>Remote Sensing</t>
  </si>
  <si>
    <t>VI7NT</t>
  </si>
  <si>
    <t>WOS:000511699400009</t>
  </si>
  <si>
    <t>Okolodkov, YB</t>
  </si>
  <si>
    <t>Species range types of recent marine dinoflagellates recorded from the Arctic</t>
  </si>
  <si>
    <t>GRANA</t>
  </si>
  <si>
    <t>6th International Conference on Modern and Fossil Dinoflagellates (DINO 6)</t>
  </si>
  <si>
    <t>JUN, 1998</t>
  </si>
  <si>
    <t>TRONDHEIM, NORWAY</t>
  </si>
  <si>
    <t>BIOGEOGRAPHY; ATLANTIC; OCEAN; PHYTOPLANKTON; SEAS</t>
  </si>
  <si>
    <t>On the basis of the geographic distribution of some 200 planktonic dinoflagellates recorded from the Arctic. species ranges were typified. Both original and literary data were considered and occurrences were mapped. The types are as follows: Arctic-boreal, boreal, Arctic-boreal-tropical, tropical-boreal, Antarctic-tropical-boreal. bipolar and cosmopolitan. Each type is discussed separately. Mostly. they correspond to the range types known for planktonic diatoms. The evidences of the unity of the Arctic-Boreal Biogeographic Zone are presented. No purely Arctic species have been found. Low endemism of the dinoflagellates of the Arctic-Boreal Zone at specific level (ca 2%) is noted for the Arctic Ocean. The Arctic-Boreal Biogeographic Zone can be subdivided into the Subarctic-Boreal-Atlantic, Subarctic-Boreal-Pacific and Euarctic Circumpolar subzones. As a whole, the Arctic dinoflagellate flora represents impoverished flora characteristic of temperate waters, mostly of the North Atlantic. The problems of bipolarity and bioindication of oceanic currents as well us the value of the so-called Ortmann and Dunbar lines am also discussed.</t>
  </si>
  <si>
    <t>Russian Acad Sci, VL Komarov Bot Inst, Lab Algol, St Petersburg 197376, Russia</t>
  </si>
  <si>
    <t>Russian Academy of Sciences; Komarov Botanical Institute, Russian Academy of Sciences</t>
  </si>
  <si>
    <t>Okolodkov, YB (corresponding author), Russian Acad Sci, VL Komarov Bot Inst, Lab Algol, Prof Popov St 2, St Petersburg 197376, Russia.</t>
  </si>
  <si>
    <t>TAYLOR &amp; FRANCIS AS</t>
  </si>
  <si>
    <t>OSLO</t>
  </si>
  <si>
    <t>CORT ADELERSGT 17, PO BOX 2562, SOLLI, 0202 OSLO, NORWAY</t>
  </si>
  <si>
    <t>0017-3134</t>
  </si>
  <si>
    <t>Grana</t>
  </si>
  <si>
    <t>2-3</t>
  </si>
  <si>
    <t>10.1080/713786929</t>
  </si>
  <si>
    <t>317LW</t>
  </si>
  <si>
    <t>Bronze</t>
  </si>
  <si>
    <t>WOS:000087227700010</t>
  </si>
  <si>
    <t>Crocker, GW; Payeur, J; Hammel, GR</t>
  </si>
  <si>
    <t>Culp, RD; Weimer, DJ</t>
  </si>
  <si>
    <t>1997 RADARSAT Antarctic maneuver</t>
  </si>
  <si>
    <t>GUIDANCE AND CONTROL 1999</t>
  </si>
  <si>
    <t>ADVANCES IN THE ASTRONAUTICAL SCIENCES</t>
  </si>
  <si>
    <t>22nd Annual AAS Rocky Mountain Guidance and Control Conference</t>
  </si>
  <si>
    <t>FEB 03-07, 1999</t>
  </si>
  <si>
    <t>BRECKENRIDGE, CO</t>
  </si>
  <si>
    <t>The primary objective of the RADARSAT Antarctic Mapping Mission #1 was to image Antarctica in its entirety with a resolution of twenty-five meters using the on board synthetic aperture radar. The imaging period was about eighteen days. The mission was comprised of a pre-Antarctic altitude maneuver, an entry attitude maneuver, an imaging campaign and an exit attitude maneuver. Each entry and exit maneuver was made up of a sequence of pre-slew, slew and post-slew segments. During the pre-stew segment, the attitude control system was configured to support the slew. During the post-slew segments, the attitude control system was configured to support Antarctic entry and the nominal exit attitude. The slew segment was comprised of pitch down, momentum dump, yaw around, momentum restoration and pitch up. RADARSAT was the first earth observation satellite to execute an effective 180 degrees yaw maneuver to support imaging requirements. There were several challenges: (1) risk to the remaining operational horizon scanner when exposed to the sun; (2) loss of sun by the sun-sensors during the slew and the resulting transition to the less accurate attitude determination method based on magnetometer and horizon scanner; (3) timing of the supports provided by the Tracking and Data Relay Satellite System far maximum radio frequency link margins during the slew and (4) timing and sizing of the pre-mission orbit correction. Multiple system simulations were run: two are described in this paper. In one, the consequences of a failed sun-sensor on the normally shaded side of the spacecraft were examined, In the other, the recovery operation after the spacecraft entry into safe-hold prior to the completion of the exit attitude maneuver was rehearsed. A comparison of the actual flight results with simulations is presented in this paper. A summary of the recommendations for future maneuvers concludes the paper.</t>
  </si>
  <si>
    <t>UNIVELT INC</t>
  </si>
  <si>
    <t>SAN DIEGO</t>
  </si>
  <si>
    <t>PO BOX 28130, SAN DIEGO, CA 92128 USA</t>
  </si>
  <si>
    <t>1081-6003</t>
  </si>
  <si>
    <t>0-87703-456-7</t>
  </si>
  <si>
    <t>ADV ASTRONAUT SCI</t>
  </si>
  <si>
    <t>BN14B</t>
  </si>
  <si>
    <t>WOS:000080857900029</t>
  </si>
  <si>
    <t>Arbizu, PM; Jaume, D</t>
  </si>
  <si>
    <t>New hyperbenthic species of Misophriopsis and Misophriella, first record of misophrioid copepods (Crustacea) from Antarctic waters</t>
  </si>
  <si>
    <t>HELGOLAND MARINE RESEARCH</t>
  </si>
  <si>
    <t>misophrioid copepods; Antarctic waters; Misophriopsis; Misophriella; Crustacea</t>
  </si>
  <si>
    <t>GENERA; GENUS; CAVE</t>
  </si>
  <si>
    <t>Misophrioid copepods are reported for the first time from Antarctic waters. A species of each of the genera Misophriopsis and Misophriella is described from hyperbenthic layers of the continental shelf of the eastern Weddell Sea. The genus Misophrin is also reported from these waters. Misophriopsis australis sp. nov. is the fifth representative of this widely distributed genus, previously reported from the North Atlantic, the China Sea, and both NW and NE quadrants of the Pacific Ocean. Misophriella schminkei sp. nov. is the second representative of the genus, known to date only from a single female caught in North Atlantic bathyal depths. Traces of subdivisions on antennary exopodal segments of the latter species suggest that the first segment may be a triple segment, while the second and terminal segments may be double segments. In addition, the mandibular exopod of this taxon indicates that a six-segmented ramus with setal formula 0, 1, 1, 1, 1, 2 may represent the ground pattern in Copepoda. The presence of parts of a cyclopinid copepod in the gut of M. schminkei sp. nov. indicates that this species may be carnivorous.</t>
  </si>
  <si>
    <t>Univ Oldenburg, FB7 AG Zoosystemat &amp; Morphol, D-26111 Oldenburg, Germany; Univ Illes Balears, Inst Mediterraneo Estudios Avanzados, CSIC, E-07071 Palma de Mallorca, Spain</t>
  </si>
  <si>
    <t>Carl von Ossietzky Universitat Oldenburg; Universitat de les Illes Balears; Consejo Superior de Investigaciones Cientificas (CSIC); ATTITUS Educacao</t>
  </si>
  <si>
    <t>UFPR, Ctr Estudos Mar, Lab Meiofauna, Av Alfredo Bufren 140, BR-80020240 Curitiba, Parana, Brazil.</t>
  </si>
  <si>
    <t>martinez@cem.ufpr.br</t>
  </si>
  <si>
    <t>; Jaume, Damia/P-5559-2014</t>
  </si>
  <si>
    <t>Martinez-Arbizu, Pedro/0000-0002-0891-1154; Jaume, Damia/0000-0002-1857-3005</t>
  </si>
  <si>
    <t>BMC</t>
  </si>
  <si>
    <t>LONDON</t>
  </si>
  <si>
    <t>CAMPUS, 4 CRINAN ST, LONDON N1 9XW, ENGLAND</t>
  </si>
  <si>
    <t>1438-387X</t>
  </si>
  <si>
    <t>1438-3888</t>
  </si>
  <si>
    <t>HELGOLAND MAR RES</t>
  </si>
  <si>
    <t>Helgoland Mar. Res.</t>
  </si>
  <si>
    <t>10.1007/PL00012142</t>
  </si>
  <si>
    <t>Marine &amp; Freshwater Biology; Oceanography</t>
  </si>
  <si>
    <t>305AK</t>
  </si>
  <si>
    <t>WOS:000086516500003</t>
  </si>
  <si>
    <t>Peter, T</t>
  </si>
  <si>
    <t>Wettlaufer, JS; Dash, JG; Untersteiner, N</t>
  </si>
  <si>
    <t>Physico-chemistry of polar stratospheric clouds</t>
  </si>
  <si>
    <t>ICE PHYSICS AND THE NATURAL ENVIRONMENT</t>
  </si>
  <si>
    <t>NATO ADVANCED SCIENCE INSTITUTE SERIES, SERIES I, GLOBAL ENVIRONMENT CHANGE</t>
  </si>
  <si>
    <t>NATO-Advanced-Research-Institute Workshop on Ice Physics in the Natural and Endangered Environment</t>
  </si>
  <si>
    <t>SEP, 1997</t>
  </si>
  <si>
    <t>MARATEA, ITALY</t>
  </si>
  <si>
    <t>REACTIVE UPTAKE COEFFICIENTS; NITRIC-ACID TRIHYDRATE; OZONE DEPLETION; SULFURIC-ACID; HETEROGENEOUS CHEMISTRY; ANTARCTIC OZONE; ARCTIC STRATOSPHERE; LIDAR OBSERVATIONS; AEROSOL DROPLETS; ICE PARTICLES</t>
  </si>
  <si>
    <t>Liquid and solid particles in polar stratospheric clouds are of central importance for the depletion of stratospheric ozone. Surface-catalyzed and diffusion-controlled bulk reactions on/in the particles, convert halogens, which derive from compounds of mainly anthropogenic origin, from relatively inert reservoir species into forms that efficiently destroy ozone. The microphysics of these particles under cold stratospheric conditions is still uncertain in many respects, in particular concerning phase transitions like freezing nucleation and deposition nucleation. Furthermore, there are indications that the rates of key heterogeneous reactions have not yet been established with sufficient accuracy to enable a reliable diagnosis of observed ozone losses by means of global models. This paper is a shortened version of an Annual Review of Physical Chemistry(1), which surveys this rapidly developing field.</t>
  </si>
  <si>
    <t>Max Planck Inst Chem, Mainz, Germany</t>
  </si>
  <si>
    <t>Max Planck Society</t>
  </si>
  <si>
    <t>Peter, T (corresponding author), Max Planck Inst Chem, Mainz, Germany.</t>
  </si>
  <si>
    <t>Peter, Thomas/B-2529-2018</t>
  </si>
  <si>
    <t>Peter, Thomas/0000-0002-7218-7156</t>
  </si>
  <si>
    <t>SPRINGER-VERLAG BERLIN</t>
  </si>
  <si>
    <t>BERLIN</t>
  </si>
  <si>
    <t>HEIDELBERGER PLATZ 3, D-14197 BERLIN, GERMANY</t>
  </si>
  <si>
    <t>1431-7125</t>
  </si>
  <si>
    <t>3-540-65155-1</t>
  </si>
  <si>
    <t>NATO ASI SER SER I</t>
  </si>
  <si>
    <t>Geochemistry &amp; Geophysics; Environmental Sciences</t>
  </si>
  <si>
    <t>Geochemistry &amp; Geophysics; Environmental Sciences &amp; Ecology</t>
  </si>
  <si>
    <t>BP61Q</t>
  </si>
  <si>
    <t>WOS:000085690200008</t>
  </si>
  <si>
    <t>Abyzov, SS; Mitskevich, IN; Poglazova, MN; Hoover, RB; Ivanov, MV</t>
  </si>
  <si>
    <t>Hoover, RB</t>
  </si>
  <si>
    <t>Microorganisms and unicellular algae in the ice sheet of Antarctica.</t>
  </si>
  <si>
    <t>INSTRUMENTS, METHODS, AND MISSIONS FOR ASTROBIOLOGY II</t>
  </si>
  <si>
    <t>Conference on Instruments, Methods, and Missions for Astrobiology II</t>
  </si>
  <si>
    <t>JUL 20-22, 1999</t>
  </si>
  <si>
    <t>DENVER, CO</t>
  </si>
  <si>
    <t>Antarctica; microorganisms; ice; anabiosis; unicellular algae; astrobiology</t>
  </si>
  <si>
    <t>Institute of Microbiology RAS have carried out during several years the microbiological investigations at the Central Antarctic in the region of Vostok station The special technics of aseptic sampling from ice sheet have been used. At the first stage of investigations with the method of classic microbiology - inoculation on nutrient media - it was proved experimentally that the ancient glaciers are unique natural objects for the study the super-long-term anabiosis of microorganisms belonged to different taxonomic groups. The considerably greater number of well - preserved bacterial cells, actinomycetes, yeasts, mycelial fungi was discovered in samples from deep horizons with the methods of optical and electron microscopy. Good preserved pollen of ancient plants was revealed at some horizons. The great variety of unicellular algae, mainly diatomic ones, was detected at many horizons with the methods of luminescent and electron microscopy. The increased content of these organisms was found out at some horizons. While the comparison the results of microbiological investigations with the data taken by glaciologists it was shown that the maximal quantity content of diatomic algae was found in those layers of ice sheet which were formed at the periods of cooling of the Earth's climate.</t>
  </si>
  <si>
    <t>Russian Acad Sci, Inst Microbiol, Moscow 117811, Russia</t>
  </si>
  <si>
    <t>Research Center of Biotechnology RAS; Russian Academy of Sciences</t>
  </si>
  <si>
    <t>Abyzov, SS (corresponding author), Russian Acad Sci, Inst Microbiol, Moscow 117811, Russia.</t>
  </si>
  <si>
    <t>0-8194-3241-5</t>
  </si>
  <si>
    <t>10.1117/12.375075</t>
  </si>
  <si>
    <t>Astronomy &amp; Astrophysics; Geochemistry &amp; Geophysics; Instruments &amp; Instrumentation; Microbiology; Optics</t>
  </si>
  <si>
    <t>BP48Y</t>
  </si>
  <si>
    <t>WOS:000085289800017</t>
  </si>
  <si>
    <t>Hoover, RB; Abyzov, SS; Ivanov, MV</t>
  </si>
  <si>
    <t>Environmental Scanning Electron Microscopy investigations of ancient microorganisms from deep ice above Lake Vostok</t>
  </si>
  <si>
    <t>Extensive microbiological studies carried out at Vostok Station, Antarctica over the past several years have revealed a complex assemblage of well preserved microbial cells. The Antarctic ice sheet provides an ideal model for the investigation of the types of microbial forms and the state of preservation that may be expected after long term preservation in ice. The diversity of forms that are present in the Vostok core material is very great with many different taxonomic groups are represented in the ice sheet horizons above 300000 years. The microorganisms encountered include diatoms and other algae, cyanobacteria, bacteria and bacterial spores, fungi, yeasts, actinomycetes, and plant pollen. The microorganisms of the Earth's polar ice sheets provide analogs for microbiota that might be encountered in the polar ice sheets and glaciers of Mars, and the ice of comets or frozen moons such as Europa, Callisto, Ganymede, and Miranda. Since most bodies of our Solar System are frozen worlds, the microbial life of the terrestrial cryosphere is extremely important to Astrobiology. These microorganisms help establish the thermal and temporal limitations of life on Earth. The ice microbiota help define how and where we should look for signatures of life elsewhere, and they may hold clues to the distribution of life in the Cosmos. Some microorganisms can remain viable for geological periods frozen in ice. We have used the Environmental Scanning Electron Microscope at the NASA Marshall Space Flight Center to investigate the ultra-microstructure, morphology, and chemical composition of cryopreserved microorganisms from deep ice cores just above Lake Vostok in Antarctica and a database of images has been generated.</t>
  </si>
  <si>
    <t>NASA, George C Marshall Space Flight Ctr, Dept Space Sci, Huntsville, AL 35812 USA</t>
  </si>
  <si>
    <t>National Aeronautics &amp; Space Administration (NASA); NASA Marshall Space Flight Center</t>
  </si>
  <si>
    <t>Hoover, RB (corresponding author), NASA, George C Marshall Space Flight Ctr, Dept Space Sci, SD50, Huntsville, AL 35812 USA.</t>
  </si>
  <si>
    <t>10.1117/12.375076</t>
  </si>
  <si>
    <t>WOS:000085289800018</t>
  </si>
  <si>
    <t>Price, PB</t>
  </si>
  <si>
    <t>DeepIce: Prospects for microbiology at an interdisciplinary science and technology center</t>
  </si>
  <si>
    <t>South Pole; subglacial lake; microbes; microbiology; PCR; sterile drilling; microscopy; psychrophiles; acidophiles; origin of life</t>
  </si>
  <si>
    <t>ANTARCTIC ICE; BASAL ICE; BIOSPHERE; ACID; LIFE; GREENLAND; ENZYMES; OCEAN</t>
  </si>
  <si>
    <t>One of the goals of the DeepIce Science and Technology Center tone of 16 finalists but not one of the 5 selected by NSF) would have been to locate a subglacial lake close to the South Pole and to search for life in lake water and sediment, as well as in ice above the lake. Radar data obtained in December 1998 show evidence for a fake similar to 10 km from the South Pole. We would like to search for microbes in deep ice above the lake, using filtration, cultivation, microscopy and other techniques, and molecular analysis with PCR amplification To search for living microbes, we would scan thick sections microscopically for micrometer-size motile organisms living in acid-rich liquid veins in polycrystalline ice. Ultimately we would use sterile drilling to recover lake water and sediment in which to search for life.</t>
  </si>
  <si>
    <t>Univ Calif Berkeley, Dept Phys, Berkeley, CA 94720 USA</t>
  </si>
  <si>
    <t>University of California System; University of California Berkeley</t>
  </si>
  <si>
    <t>Price, PB (corresponding author), Univ Calif Berkeley, Dept Phys, Berkeley, CA 94720 USA.</t>
  </si>
  <si>
    <t>10.1117/12.375077</t>
  </si>
  <si>
    <t>WOS:000085289800019</t>
  </si>
  <si>
    <t>Weichbrodt, M; Vetter, W; Scholz, E; Luckas, B; Reinhardt, K</t>
  </si>
  <si>
    <t>Determination of organochlorine levels in Antarctic skua and penguin eggs by application of combined focused open-vessel microwave-assisted extraction, gel-permeation chromatography, adsorption chromatography, and GC/ECD</t>
  </si>
  <si>
    <t>INTERNATIONAL JOURNAL OF ENVIRONMENTAL ANALYTICAL CHEMISTRY</t>
  </si>
  <si>
    <t>focused open-vessel microwave-assisted extraction; organochlorines; eggs of penguin; eggs of skua; Antarctic</t>
  </si>
  <si>
    <t>CONGENER-SPECIFIC DETERMINATION; CHLORINATED HYDROCARBONS; POLYCHLORINATED-BIPHENYLS; TOXAPHENE; POLLUTANTS; BLUBBER; ADELIE; MACCORMICKI; PESTICIDES; FOOD</t>
  </si>
  <si>
    <t>Levels of organochlorines (PCBs, DDT, toxaphene, chlordane, hexachlorobenzene (HCB), hexachlorocyclohexanes (HCHs), dieldrin, Q1) were determined in eggs of both penguins (Adelie Pygoscelis adeliae, Chinstrap Pygoscelis antarctica, Gentoo Pygoscelis papua) and skuas (South Polar Skua Catharacta maccormicki, Brown Skua Catharacta antarctica lonnbergi, Mixed Pair Skua Catharacta maccormicki x lonnbergi) from the Antarctic. Focused open-vessel microwave-assisted extraction (FOV-MAE) was performed for the extraction of entire, partly lyophilised eggs (approx. 50 g). After gel-permeation chromatography(GPC) and adsorption chromatography on deactivated silica gel, the quantitation was performed by GC/ECD on two capillary columns of different polarity. Compounds of technical toxaphene (CTTs) were determined after separation of the PCBs. The sample clean-up method was validated with certified reference material SRM 1588. In general, skua eggs revealed higher organochlorine levels than penguin eggs. Main contaminants in skua eggs were p,p'-DDE, PCB 153, and PCB 180 with levels about 10 - 350 mu g/kg wet weight without shell (ww). Eggs of penguins were topped by levers of hexachlorobenzene (HCB) and p,pl-DDE (2 - 22 mu g/kg ww), respectively. In skua eggs, the most abundant CTTs were B9-1679 (Parlar #50) &gt; B8-1413 (Parlar #26) &gt; B9-1025 (Parlar #62) &gt; B8-1412, the levels were about 1-20 mu g/kg ww. In penguin eggs, however, the order was B8-1413 (Parlar #26)&gt; B9-1679 (Parlar #50) &gt; B8-1412 &gt; B9-1025 (Parlar #62), and the levels ranged from 0.02 - 0.8 mu g/kg ww. A so far unknown heptachloro compound labelled Q1 caused an abundant peak in some samples. Levels of Q1 (2 - 126 mu g/kg ww in skua eggs and 0.3 - 1.2 mu g/kg ww without shell in penguin eggs) were estimated relative to the ECD response factor of trans-nonachlor.</t>
  </si>
  <si>
    <t>Univ Jena, Lehrbere Lebensmittelchem, D-07743 Jena, Germany; Univ Jena, Inst Okol, D-07743 Jena, Germany</t>
  </si>
  <si>
    <t>Friedrich Schiller University of Jena; Friedrich Schiller University of Jena</t>
  </si>
  <si>
    <t>Univ Jena, Lehrbere Lebensmittelchem, Dornburger Str 25, D-07743 Jena, Germany.</t>
  </si>
  <si>
    <t>b5wave@rz.uni-jena.de</t>
  </si>
  <si>
    <t>TAYLOR &amp; FRANCIS LTD</t>
  </si>
  <si>
    <t>ABINGDON</t>
  </si>
  <si>
    <t>2-4 PARK SQUARE, MILTON PARK, ABINGDON OR14 4RN, OXON, ENGLAND</t>
  </si>
  <si>
    <t>0306-7319</t>
  </si>
  <si>
    <t>1029-0397</t>
  </si>
  <si>
    <t>INT J ENVIRON AN CH</t>
  </si>
  <si>
    <t>Int. J. Environ. Anal. Chem.</t>
  </si>
  <si>
    <t>10.1080/03067319908032672</t>
  </si>
  <si>
    <t>Chemistry, Analytical; Environmental Sciences</t>
  </si>
  <si>
    <t>Chemistry; Environmental Sciences &amp; Ecology</t>
  </si>
  <si>
    <t>244HD</t>
  </si>
  <si>
    <t>WOS:000083045000005</t>
  </si>
  <si>
    <t>Royuela, M; Fraile, B; Paniagua, R; Meyer-Rochow, VB</t>
  </si>
  <si>
    <t>Immunocytochemical observations on muscle cell proteins in the antarctic mussel shrimp Acetabulastoma sp (Crustacea, Ostracoda)</t>
  </si>
  <si>
    <t>INVERTEBRATE BIOLOGY</t>
  </si>
  <si>
    <t>striated muscle; myosin; paramyosin; miniparamyosin; troponin; caldesmon; calponin; titin; nebulin</t>
  </si>
  <si>
    <t>EARTHWORM EISENIA-FOETIDA; WESTERN-BLOT-ANALYSIS; FLY DROSOPHILA-MELANOGASTER; AMINO-ACID-SEQUENCES; STRIATED-MUSCLE; TROPONIN-C; SKELETAL-MUSCLE; SMOOTH-MUSCLE; MINI-TITINS; Z-BAND</t>
  </si>
  <si>
    <t>In the antarctic ostracode Acetabulastoma sp., a singular type of muscle cell has tentatively been classified as transversely striated with continuous Z-line, interrupted by tubules of sarcoplasmic reticulum. We investigated the presence and distribution of different regulatory, contractile, and structural proteins in this muscle by electron microscopical immunocytochemistry. Troponin, caldesmon, and calponin are three proteins suitable to identify muscle cell types that do not show the classical ultrastructural patterns expected of striated or smooth muscles. Reaction to troponin T was positive (the protein was located along the thin filaments), but no immunoreaction was observed to caldesmon and calponin. Thus, the muscle clearly belongs to the striated class. The contractile proteins myosin, paramyosin, and miniparamyosin were located along the thick filaments. Paramyosin and miniparamyosin are known only from invertebrate thick filaments and have no known vertebrate homolog. A nebulin-like protein was found and, as in vertebrates, may be involved in regulating sarcomere length. Instead of the giant protein titin, known from vertebrate striated muscle, minititin, a protein of the same family but lower molecular weight, was developed. The presence and distribution of proteins such as myosin, troponin, and nebulin as well as the absence of caldesmon and calponin suggest that despite its small size and parasitic life style, Acetabulastoma sp. is an active invertebrate quite unlike those in which the contractile proteins were found to be discontinuously distributed or concentrated at the tips of the thick filaments.</t>
  </si>
  <si>
    <t>Univ Alcala de Henares, Dept Cell Biol &amp; Genet, E-28871 Alcala De Henares, Madrid, Spain; Univ Oulu, Dept Biol, Sect Anim Physiol, SF-90570 Oulu, Finland</t>
  </si>
  <si>
    <t>Universidad de Alcala; University of Oulu</t>
  </si>
  <si>
    <t>Univ Oulu, Inst Arctic Med, Aapistie 1, FIN-90220 Oulu, Finland.</t>
  </si>
  <si>
    <t>vmr@cc.oulu.fi</t>
  </si>
  <si>
    <t>MEYER-ROCHOW, Victor Benno/AAJ-7258-2020</t>
  </si>
  <si>
    <t>Royuela, Mar/0000-0003-1999-9849; MEYER-ROCHOW, V. Benno/0000-0003-1531-9244</t>
  </si>
  <si>
    <t>1077-8306</t>
  </si>
  <si>
    <t>1744-7410</t>
  </si>
  <si>
    <t>INVERTEBR BIOL</t>
  </si>
  <si>
    <t>Invertebr. Biol.</t>
  </si>
  <si>
    <t>10.2307/3227059</t>
  </si>
  <si>
    <t>Marine &amp; Freshwater Biology; Zoology</t>
  </si>
  <si>
    <t>208UG</t>
  </si>
  <si>
    <t>WOS:000081009800010</t>
  </si>
  <si>
    <t>Booth, BE; Dyson, PL; Greet, PA; Innis, JL; Murphy, DJ</t>
  </si>
  <si>
    <t>Burns, A; Killeen, T; Rees, D</t>
  </si>
  <si>
    <t>Thermal behaviour of the antarctic thermosphere observed from Mawson</t>
  </si>
  <si>
    <t>IONOSPHERIC/THERMOSPHERIC/MESOSPHERIC COUPLING</t>
  </si>
  <si>
    <t>C1 1 and C1 2 Symposia of COSPAR Scientific Commission C Held at the 32nd COSPAR Scientific Assembly</t>
  </si>
  <si>
    <t>OVAL/POLAR CAP BOUNDARY; WINDS; TEMPERATURES</t>
  </si>
  <si>
    <t>The behaviour of thermospheric temperature in the region of Mawson, Antarctica during 1992-96 is presented. Temperatures have been derived from Fabry-Perot spectrometer observations of the 630-nm OI emission. A distinct nighttime temperature gradient is observed along the magnetic meridian with hotter temperatures towards the pole. Equatorward of Mawson the temperature data have been fitted by an equation based on diurnal and annual sinusoidal variations, sunspot number and a quadratic dependence on Kp. Temperature differences between observed temperatures and the mathematical description have a mean of 10K and a standard deviation of 102K. (C) 1999 COSPAR. Published by Elsevier Science Ltd.</t>
  </si>
  <si>
    <t>La Trobe Univ, Bundoora, Vic 3083, Australia; Australian Antarctic Div, Kingston, Tas 7030, Australia</t>
  </si>
  <si>
    <t>La Trobe University; Australian Antarctic Division</t>
  </si>
  <si>
    <t>Booth, BE (corresponding author), La Trobe Univ, Bundoora, Vic 3083, Australia.</t>
  </si>
  <si>
    <t>10.1016/S0273-1177(99)00704-8</t>
  </si>
  <si>
    <t>Engineering, Aerospace; Astronomy &amp; Astrophysics; Geosciences, Multidisciplinary; Meteorology &amp; Atmospheric Sciences</t>
  </si>
  <si>
    <t>Engineering; Astronomy &amp; Astrophysics; Geology; Meteorology &amp; Atmospheric Sciences</t>
  </si>
  <si>
    <t>BP27H</t>
  </si>
  <si>
    <t>WOS:000084544200003</t>
  </si>
  <si>
    <t>Moorehead, S; Simmons, R; Apostolopoulos, D; Whittaker, W</t>
  </si>
  <si>
    <t>Perry, M</t>
  </si>
  <si>
    <t>Autonomous navigation field results of a planetary analog robot in Antarctica</t>
  </si>
  <si>
    <t>ISAIRAS '99: FIFTH INTERNATIONAL SYMPOSIUM ON ARTIFICIAL INTELLIGENCE, ROBOTICS AND AUTOMATION IN SPACE</t>
  </si>
  <si>
    <t>5th International Symposium on Artificial Intelligence, Robotics and Automation in Space (ISAIRAS 99)</t>
  </si>
  <si>
    <t>JUN 01-03, 1999</t>
  </si>
  <si>
    <t>NOORDWIJK, NETHERLANDS</t>
  </si>
  <si>
    <t>The Robotic Antarctic Meteorite Search at Carnegie Mellon is developing robotic technologies to allow for autonomous search and classification of meteorites in Antarctica. in November 1998, the robot Nomad was deployed in the Patriot Hills region of Antarctica To perform several demonstrations and experiments of these technologies in a polar environment. Nomad drove 10.3 km autonomously in Antarctica under a variety of weather and terrain conditions. This paper presents the results of this traverse, the ability of stereo vision and laser scanner to perceive polar terrain and the autonomous navigation system used.</t>
  </si>
  <si>
    <t>Carnegie Mellon Univ, Inst Robot, Pittsburgh, PA 15213 USA</t>
  </si>
  <si>
    <t>Carnegie Mellon University</t>
  </si>
  <si>
    <t>Moorehead, S (corresponding author), Carnegie Mellon Univ, Inst Robot, 5000 Forbes Ave, Pittsburgh, PA 15213 USA.</t>
  </si>
  <si>
    <t>92-9092-760-7</t>
  </si>
  <si>
    <t>Automation &amp; Control Systems; Engineering, Aerospace; Computer Science, Artificial Intelligence; Computer Science, Interdisciplinary Applications</t>
  </si>
  <si>
    <t>Automation &amp; Control Systems; Engineering; Computer Science</t>
  </si>
  <si>
    <t>BN59B</t>
  </si>
  <si>
    <t>WOS:000082313700032</t>
  </si>
  <si>
    <t>Gertner, BJ; Peslherbe, GH; Hynes, JT</t>
  </si>
  <si>
    <t>Acid ionization of HBr in a small water cluster</t>
  </si>
  <si>
    <t>ISRAEL JOURNAL OF CHEMISTRY</t>
  </si>
  <si>
    <t>Research Workshop on Proton Solvation and Proton Mobility</t>
  </si>
  <si>
    <t>NEVE ILAN, ISRAEL</t>
  </si>
  <si>
    <t>MOLECULAR-ORBITAL METHODS; RESOLUTION INFRARED-SPECTROSCOPY; COMPACT EFFECTIVE POTENTIALS; MONTE-CARLO SIMULATIONS; EXPONENT BASIS-SETS; GAUSSIAN-TYPE BASIS; HYDROGEN-CHLORIDE; ANTARCTIC OZONE; AB-INITIO; STRATOSPHERIC CONDITIONS</t>
  </si>
  <si>
    <t>The acid ionization by which HBr transfers a proton to a water molecule is studied for HBr in small water clusters as a first stage in a study of the corresponding Arctic atmospheric process. Electronic structure calculations, involving relatively large basis sets and including electron correlation effects, indicate that HBr is acid-ionized in a cluster of four water molecules. The most stable structure in the general HBr(H2O)(4) system is a diamond-like (trigonal bipyramidal) structure in which the bromide and hydronium ion species are bridged by three water molecules, and infrared spectral and ionization potential characteristics potentially useful for experimental study are provided. This structure is calculated to remain the thermodynamically most stable one up to about 180 K, where HBr + (H2O)(4) becomes more stable. Aspects of the formation of the acid-ionized cluster from both HBr + (H2O)(4) and H2O + HBr(H2O)(3) are discussed. Possible implications for HBr acid ionization at the surface of ice, believed to be important for Arctic atmosphere ozone depletion mechanisms, are briefly discussed.</t>
  </si>
  <si>
    <t>Univ Colorado, Dept Chem &amp; Biochem, Boulder, CO 80309 USA; Concordia Univ, Dept Chem &amp; Biochem, Montreal, PQ H3G 1M8, Canada</t>
  </si>
  <si>
    <t>University of Colorado System; University of Colorado Boulder; Concordia University - Canada</t>
  </si>
  <si>
    <t>Univ Colorado, Dept Chem &amp; Biochem, Campus Box 215, Boulder, CO 80309 USA.</t>
  </si>
  <si>
    <t>hynes@spot.colorado.edu</t>
  </si>
  <si>
    <t>WILEY-V C H VERLAG GMBH</t>
  </si>
  <si>
    <t>WEINHEIM</t>
  </si>
  <si>
    <t>POSTFACH 101161, 69451 WEINHEIM, GERMANY</t>
  </si>
  <si>
    <t>0021-2148</t>
  </si>
  <si>
    <t>1869-5868</t>
  </si>
  <si>
    <t>ISR J CHEM</t>
  </si>
  <si>
    <t>Isr. J. Chem.</t>
  </si>
  <si>
    <t>3-4</t>
  </si>
  <si>
    <t>Chemistry, Multidisciplinary</t>
  </si>
  <si>
    <t>Chemistry</t>
  </si>
  <si>
    <t>281EU</t>
  </si>
  <si>
    <t>WOS:000085145600008</t>
  </si>
  <si>
    <t>Felici, A; Alimenti, C; Ortenzi, C; Luporini, P</t>
  </si>
  <si>
    <t>Purification and initial characterization of two pheromones from the marine Antarctic ciliate, Euplotes nobilii</t>
  </si>
  <si>
    <t>ITALIAN JOURNAL OF ZOOLOGY</t>
  </si>
  <si>
    <t>protein cell-markers; ciliate mating-types; cell recognition; protozoa</t>
  </si>
  <si>
    <t>MATING PHEROMONE; CELL-INTERACTION; FACTORS GAMONES; RAIKOVI; OCTOCARINATUS; CONJUGATION; BLEPHARISMA; ER-1; BINDING; CRASSUS</t>
  </si>
  <si>
    <t>Among a set of wild-type strains of Euplotes,nobilii, every one derived asexually from one specimen isolated from Terra Nova Bay (Ross Sea, Antarctica). two were found to be representative of different mating types mutually capable of inducing each other to form mating pairs through pheromones constitutively secreted into the extracellular environment. Pheromones of strain AC-1 were purified to homogeneity and shown to be represented by two distinct proteins, that were denoted En-1 and En-2. En-1, secreted in amounts three-fold greater than En-2, was determined to have a molecular weight of 5617 and an asparagine at the N-terminus of its amino acid sequence, while En-2 has a molecular weight of 6290 and bears an asparctic acid at its N-terminus. The fact that En-1 and En-2 are coreleased by genetically identical cells of the same strain was taken to imply that they carry a heterozygotic combination of allelic pheromone genes and that these genes are regulated by relationships of co-dominance.</t>
  </si>
  <si>
    <t>Univ Camerino, Dipartimento Biol Mol Cellulare &amp; Anim, I-62032 Camerino, Italy</t>
  </si>
  <si>
    <t>University of Camerino</t>
  </si>
  <si>
    <t>Felici, A (corresponding author), Univ Camerino, Dipartimento Biol Mol Cellulare &amp; Anim, Via Camerini 2, I-62032 Camerino, Italy.</t>
  </si>
  <si>
    <t>ORTENZI, Claudio/0000-0002-9051-4085; Alimenti, Claudio/0000-0003-2231-2948</t>
  </si>
  <si>
    <t>4 PARK SQUARE, MILTON PARK, ABINGDON OX14 4RN, OXON, ENGLAND</t>
  </si>
  <si>
    <t>1125-0003</t>
  </si>
  <si>
    <t>1748-5851</t>
  </si>
  <si>
    <t>ITAL J ZOOL</t>
  </si>
  <si>
    <t>Ital. J. Zoolog.</t>
  </si>
  <si>
    <t>10.1080/11250009909356277</t>
  </si>
  <si>
    <t>278YZ</t>
  </si>
  <si>
    <t>WOS:000085017700009</t>
  </si>
  <si>
    <t>Canapa, A; Barucca, M; Marinelli, A; Olmo, E</t>
  </si>
  <si>
    <t>A molecular approach to the systematics of the Antarctic scallop Adamussium colbecki</t>
  </si>
  <si>
    <t>mollusca; bivalvia; phylogeny; 18S rDNA; Adamussium colbecki</t>
  </si>
  <si>
    <t>18S RIBOSOMAL-RNA; NUCLEOTIDE-SEQUENCES; PHYLOGENY; BIVALVIA; KINGDOMS; TREES</t>
  </si>
  <si>
    <t>The taxonomy of Adamussium colbecki, the Antarctic scallop, is controversial, and different views have been proposed. This species is included in the family Pectinidae by some authors, and in Propeamussiidae by others. In this study, the complete nucleotide sequence of the 18S subunit. of ribosomal DNA of A. colbecki was determined. The comparison of this new sequence with the corresponding sequences of Chlamys hastata, Chlamys islandica, Mimachlamys varia, Argopectin irradians, Pecten maximus, Crassadoma gigantea, and Placopecten magellanicus unequivocally showed that A. colbecki belongs to Pectinidae. No element supports the inclusion of A. colbecki in any other family. These molecular data also suggest that the Chlamys group is polyphyletic and that the distinction between the Pecten and the Chlamys groups has no obvious evolutionary basis.</t>
  </si>
  <si>
    <t>Univ Ancona, Ist Biol &amp; Genet, I-60100 Ancona, Italy</t>
  </si>
  <si>
    <t>Marche Polytechnic University</t>
  </si>
  <si>
    <t>Canapa, A (corresponding author), Univ Ancona, Ist Biol &amp; Genet, Via Brecce Bianche, I-60100 Ancona, Italy.</t>
  </si>
  <si>
    <t>10.1080/11250009909356281</t>
  </si>
  <si>
    <t>WOS:000085017700013</t>
  </si>
  <si>
    <t>Mehlum, F; Hunt, GL; Klusek, Z; Decker, MB</t>
  </si>
  <si>
    <t>Scale-dependent correlations between the abundance of Brunnich's guillemots and their prey</t>
  </si>
  <si>
    <t>JOURNAL OF ANIMAL ECOLOGY</t>
  </si>
  <si>
    <t>aggregative response; Brunnich's guillemots; foraging ecology; scale dependence; Uria lomvia</t>
  </si>
  <si>
    <t>WAVELET ANALYSIS; ANTARCTIC KRILL; SOUTH-GEORGIA; PATTERNS; DENSITY; PREDATORS; SEABIRDS; SEA; DISTRIBUTIONS; AGGREGATION</t>
  </si>
  <si>
    <t>1. The foraging ecology of Brunnich's guillemots Uria lomvia was studied during the breeding season in south-eastern Svalbard. In the region of Storfjorden there are two large breeding colonies comprising a total of about 540 000 individuals. These birds forage in the western part of Storfjorden and further to the south. Their main prey are polar cod Boreogadus saida, pelagic amphipods Parathemisto spp. and euphausiids Thysanoessa inermis. 2. A ship-based transect survey was used to record bird abundance and the acoustically determined biomass of presumed prey. The five transects were divided into 33 segments, each 8-11 km in length. The resolution of the survey was 150 m, and analyses of correlations between predators and prey were performed at length scales from 150 m to 9 km. We differentiated acoustic signals into aggregated and dispersed categories according to the estimated horizontal distribution of presumed prey. 3. Foraging guillemots were consistently more strongly correlated with the aggregated prey than with dispersed prey over scales ranging from 150 m to 9 km. Correlations were weak at small scales (150 m - 1 km) and increased and stabilized at scales of 23 km. The spatial scale at which we obtained a shift from weak to strong correlations between guillemots and their prey was similar to the scale at which the spatial variances in both guillemot and prey abundance were high. 4. Guillemots showed low correlations with prey at low prey densities. Similarly, correlations between guillemots and prey were low at low bird densities. The data support the hypothesis that the birds associate with prey patches with densities above a certain threshold, and that 'regional' prey abundances affect local use of patches. 5. The numerical aggregative response curves between guillemot and prey density were classified as being neither hyperbolic (type II) or sigmoidal (type III) within the range of prey densities observed in this study. The aggregative response curves were sensitive to spatial scales, which suggest that studies of response curves should be conducted at a range of spatial scales.</t>
  </si>
  <si>
    <t>Norwegian Polar Res Inst, N-0301 Oslo, Norway; Univ Calif Irvine, Dept Ecol &amp; Evolutionary Biol, Irvine, CA 92697 USA; Polish Acad Sci, Inst Oceanol, PL-81967 Sopot, Poland</t>
  </si>
  <si>
    <t>Norwegian Polar Institute; University of California System; University of California Irvine; Polish Academy of Sciences; Institute of Oceanology of the Polish Academy of Sciences</t>
  </si>
  <si>
    <t>Univ Oslo, Zool Museum, Sarsgt 1, N-0562 Oslo, Norway.</t>
  </si>
  <si>
    <t>fmehlum@ulrik.uio.no</t>
  </si>
  <si>
    <t>Hunt, George/V-9423-2019</t>
  </si>
  <si>
    <t>Hunt, George/0000-0001-8709-2697; Klusek, Zygmunt/0000-0002-3201-1893</t>
  </si>
  <si>
    <t>0021-8790</t>
  </si>
  <si>
    <t>1365-2656</t>
  </si>
  <si>
    <t>J ANIM ECOL</t>
  </si>
  <si>
    <t>J. Anim. Ecol.</t>
  </si>
  <si>
    <t>10.1046/j.1365-2656.1999.00267.x</t>
  </si>
  <si>
    <t>Ecology; Zoology</t>
  </si>
  <si>
    <t>Environmental Sciences &amp; Ecology; Zoology</t>
  </si>
  <si>
    <t>186VG</t>
  </si>
  <si>
    <t>WOS:000079750400006</t>
  </si>
  <si>
    <t>Alderson, SG; Cunningham, SA</t>
  </si>
  <si>
    <t>Velocity errors in acoustic Doppler current profiler measurements due to platform attitude variations and their effect on volume transport estimates</t>
  </si>
  <si>
    <t>JOURNAL OF ATMOSPHERIC AND OCEANIC TECHNOLOGY</t>
  </si>
  <si>
    <t>Attitude (pitch, roll, and heading) variations of the platform on which acoustic Doppler current profilers (ADCPs) are mounted will affect the measurements of water velocity using ADCPs. The major correction required to the velocity vector is for heading. Here the authors concentrate on the magnitude of errors due to pitch and roll biases. Data used in this study were obtained using a 150-kHz RD Instruments ADCP fitted to the RRS James Clark Ross. In late November 1994 a hydrographic section was made across Drake Passage in the Southern Ocean along the World Ocean Circulation Experiment (WOCE) Special Repeat I section. The annual occupation of this line is a major contribution by the United Kingdom to the WOCE. A key element of the program is to determine the volume flux of the Antarctic Circumpolar Current as it Rows through Drake Passage. One method of obtaining the total volume flux is by referencing, relative geostrophic velocity profiles to the absolute ADCP velocity profiles. thereby obtaining estimates of the geostrophic reference velocity and hence the total geostrophic Row field: this is a technique used in several previous circulation studies. The authors find (i) use of pitch and roll corrections has no significant effect on heading misalignment and velocity amplitude calibrations: (ii) underway typical pitch and roll corrections amount to 0.005 m s(-1) in the athwart ship water velocity: (iii) for this dataset, differences in the mean pitch and roll under way and on station explain half the geostrophic volume transport discrepancy obtained using underway and on-station ADCP velocities as a geostrophic reference; (iv) a pitch and roll bias of only 1 degrees under way leads, in this dataset, to 10% errors in the estimate of the volume transport comparable to heading misalignment: and (v) hypothetically, pitch and roll variations at the same frequency and in phase can lend to much larger errors in volume transport estimates.</t>
  </si>
  <si>
    <t>Southampton Oceanog Ctr, James Rennell Div, Southampton SO14 3ZH, Hants, England</t>
  </si>
  <si>
    <t>NERC National Oceanography Centre; University of Southampton</t>
  </si>
  <si>
    <t>Cunningham, SA (corresponding author), Southampton Oceanog Ctr, James Rennell Div, Rm 256-31,Empress Dock, Southampton SO14 3ZH, Hants, England.</t>
  </si>
  <si>
    <t>s.cunningham@soc.soton.ac.uk</t>
  </si>
  <si>
    <t>AMER METEOROLOGICAL SOC</t>
  </si>
  <si>
    <t>BOSTON</t>
  </si>
  <si>
    <t>45 BEACON ST, BOSTON, MA 02108-3693 USA</t>
  </si>
  <si>
    <t>0739-0572</t>
  </si>
  <si>
    <t>1520-0426</t>
  </si>
  <si>
    <t>J ATMOS OCEAN TECH</t>
  </si>
  <si>
    <t>J. Atmos. Ocean. Technol.</t>
  </si>
  <si>
    <t>10.1175/1520-0426(1999)016&lt;0096:VEIADC&gt;2.0.CO;2</t>
  </si>
  <si>
    <t>Engineering, Ocean; Meteorology &amp; Atmospheric Sciences</t>
  </si>
  <si>
    <t>Engineering; Meteorology &amp; Atmospheric Sciences</t>
  </si>
  <si>
    <t>160YU</t>
  </si>
  <si>
    <t>hybrid, Green Submitted</t>
  </si>
  <si>
    <t>WOS:000078261600009</t>
  </si>
  <si>
    <t>Pierson, JM; McKinney, KA; Toohey, DW; Margitan, J; Schmidt, U; Engel, A; Newman, PA</t>
  </si>
  <si>
    <t>An investigation of C1O photochemistry in the chemically perturbed arctic vortex</t>
  </si>
  <si>
    <t>JOURNAL OF ATMOSPHERIC CHEMISTRY</t>
  </si>
  <si>
    <t>chlorine monoxide; photochemistry; modeling; partitioning</t>
  </si>
  <si>
    <t>ANTARCTIC OZONE DEPLETION; IN-SITU MEASUREMENTS; INSITU OBSERVATIONS; LOWER STRATOSPHERE; HETEROGENEOUS CHEMISTRY; CHLORINE MONOXIDE; HYDROGEN-CHLORIDE; CLO; WINTER; INSTRUMENT</t>
  </si>
  <si>
    <t>A new lightweight in, situ instrument designed to measure ClO was flown on a balloon launched into the arctic vortex at dawn on February 3, 1995 at Kiruna, Sweden during the Second European Stratospheric Arctic and Mid-latitude Experiment (SESAME), together with instruments to measure ozone and long-lived tracers. Observations on ascent and descent at different solar zenith angles are compared to results from Lagrangian and box model calculations that assume the airmasses at similar potential temperatures had comparable photochemical histories. Between 20 and 22 km, in a region where ClO was significantly enhanced, a model constrained by currently recommended rate parameters significantly underestimates the abundances of ClO that were observed on ascent at High solar zenith angles, whereas the agreement is much better if a smaller ClO-Cl2O2 equilibrium constant, one inferred from previous ER-2 aircraft observations of ClO in the Arctic during nighttime, is assumed. On ascent, ClO is additionally enhanced in a narrow region between 20 and 21 km. We believe the most plausible explanation for this feature is rapid photolysis of OClO produced by the slow bimolecular reaction ClO + ClO over the 48 hours prior to the observations when the airmass was warmed to 225 K by adiabatic compression while in polar darkness. These results suggest that under special circumstances, OClO can be produced by a reaction other than one involving BrO, and, hence, OClO is not necessarily a universal proxy for BrO abundances in the perturbed polar vortex.</t>
  </si>
  <si>
    <t>Univ Calif Irvine, Earth Syst Sci, Irvine, CA 92697 USA; NASA, Jet Prop Lab, Pasadena, CA 91109 USA; Univ Frankfurt, Inst Meteorol &amp; Geophys, D-60325 Frankfurt, Germany; NASA, Goddard Space Flight Ctr, Greenbelt, MD 20771 USA</t>
  </si>
  <si>
    <t>University of California System; University of California Irvine; National Aeronautics &amp; Space Administration (NASA); NASA Jet Propulsion Laboratory (JPL); Goethe University Frankfurt; National Aeronautics &amp; Space Administration (NASA); NASA Goddard Space Flight Center</t>
  </si>
  <si>
    <t>Pierson, JM (corresponding author), Univ Calif Irvine, Earth Syst Sci, Irvine, CA 92697 USA.</t>
  </si>
  <si>
    <t>Toohey, Darin W/A-4267-2008; Engel, Andreas/E-3100-2014; Newman, Paul A./D-6208-2012</t>
  </si>
  <si>
    <t>Toohey, Darin W/0000-0003-2853-1068; Engel, Andreas/0000-0003-0557-3935; Newman, Paul A./0000-0003-1139-2508</t>
  </si>
  <si>
    <t>KLUWER ACADEMIC PUBL</t>
  </si>
  <si>
    <t>SPUIBOULEVARD 50, PO BOX 17, 3300 AA DORDRECHT, NETHERLANDS</t>
  </si>
  <si>
    <t>0167-7764</t>
  </si>
  <si>
    <t>J ATMOS CHEM</t>
  </si>
  <si>
    <t>J. Atmos. Chem.</t>
  </si>
  <si>
    <t>10.1023/A:1006136712267</t>
  </si>
  <si>
    <t>Environmental Sciences; Meteorology &amp; Atmospheric Sciences</t>
  </si>
  <si>
    <t>Environmental Sciences &amp; Ecology; Meteorology &amp; Atmospheric Sciences</t>
  </si>
  <si>
    <t>178VE</t>
  </si>
  <si>
    <t>WOS:000079289200004</t>
  </si>
  <si>
    <t>Pfeilsticker, K; Erle, F; Platt, U</t>
  </si>
  <si>
    <t>Observation of the stratospheric NO2 latitudinal distribution in the northern winter hemisphere</t>
  </si>
  <si>
    <t>stratospheric NO2; latitudinal cross section</t>
  </si>
  <si>
    <t>ABSORPTION CROSS-SECTIONS; HETEROGENEOUS CHEMISTRY; AIRBORNE MEASUREMENTS; EQUILIBRIUM-CONSTANT; OZONE DEPLETION; VOLCANIC AEROSOLS; PINATUBO AEROSOLS; NITROGEN-DIOXIDE; ANTARCTIC OZONE; COLUMN AMOUNTS</t>
  </si>
  <si>
    <t>During a series of flights in the winters 1991/92 to 1994/95 total stratospheric NO2 was measured by means of the DOAS (Differential Optical Absorption Spectroscopy) technique on board a C160 (Transall) aircraft. In an area covering 60 degrees W to 60 degrees E, and 16 degrees N to 86 degrees N, the total stratospheric NO2 was observed to vary markedly with latitude and season (winter and spring). In the mid-winter Arctic vortex extremely low total stratospheric NO2 (&lt; 3.10(14)/cm(2)) was always found, generally larger amounts of NO2 occurred outside the vortex in winter and towards the spring both inside and outside the vortex. This behaviour of stratospheric NO2 can be explained by the denoxification of the wintertime polar stratosphere. Ambient to the vortex in mid-winter however, 'sudden' increases of total stratospheric NO2 by about a factor of 3 were observed. These sudden increases in stratospheric NO2 coincide with a change in the wavenumber 2 of the geopotential height at 60 degrees N, which indicates that most likely the events are caused by planetary waves efficiently transporting air masses rich in NOx from lower to higher latitudes. The monitoring of stratospheric NO2, during latitudinal traverses ranging from the Arctic (80 degrees N) to the Subtropics (18 degrees N) in spring also unexpectedly showed a large variability in total stratospheric NO2 at mid-latitudes. Since photochemistry almost certainly can be excluded, it is proposed that the observed variability may be due to the planetary wave activity of the stratospheric surf zone, known to dynamically connect the tropical and the polar stratosphere.</t>
  </si>
  <si>
    <t>Univ Heidelberg, Inst Umweltphys, D-6900 Heidelberg, Germany</t>
  </si>
  <si>
    <t>Ruprecht Karls University Heidelberg</t>
  </si>
  <si>
    <t>Pfeilsticker, K (corresponding author), Univ Heidelberg, Inst Umweltphys, D-6900 Heidelberg, Germany.</t>
  </si>
  <si>
    <t>10.1023/A:1006033625952</t>
  </si>
  <si>
    <t>WOS:000079289200006</t>
  </si>
  <si>
    <t>Hodgetts, NG; Matcham, HW; Duckett, JG</t>
  </si>
  <si>
    <t>Bryophytes collected in Lesotho, the Natal Drakensberg and the Orange Free State, Southern Africa</t>
  </si>
  <si>
    <t>JOURNAL OF BRYOLOGY</t>
  </si>
  <si>
    <t>mosses; liverworts; phytogeography; Drakensberg; Lesotho; South Africa</t>
  </si>
  <si>
    <t>RICCIACEAE; HEPATICAE</t>
  </si>
  <si>
    <t>Bryophytes collected during a month-long expedition (January-February, 1995) to Lesotho and the Natal Drakensberg are documented. Preliminary visits had indicated that the area was probably bryologically rich, but under-explored and threatened. The principal objectives were to survey bryophytes in the last remaining substantial area of woodland in Lesotho and in high altitude bogs, as both are ecologically and economically important and under extreme threat, to assess their bryological importance, to make conservation recommendations and to report to the relevant authorities. Other important bryophyte habitats in Lesotho were also explored. Woodland in the Natal Drakensberg was studied for comparative purposes and a small collection was made from a single site in the Orange Free State. A brief introductory section gives a summary of the geology and vegetation of the region. The principal bryophyte habitats and communities studied are described, including lowland sandstone, lowland riverine, ephemeral. austro-mediterranean Leycosidea woodland, upland basalt, bogs and mixed valley/ravine woodland in the Natal Drakensberg. Phytogeographical patterns are discussed, with particular attention being drawn to the Antarctic and sub-Antarctic elements in the Drakensberg bryophyte flora. The species recorded during the expedition are then listed, with relevant locality and habitat details. Twelve species (2 hepatics, 10 mosses) are new to Africa, with a further 1 (moss) new to sub-Saharan Africa, 21 (12 hepatics, 9 mosses) new to southern Africa, 84 (43 hepatics, 41 mosses) new to Lesotho, 2 (mosses) new to South Africa and 3 (1 hepatic, 2 mosses) new to Natal but recorded previously elsewhere in South Africa. The more striking range extensions are tabulated for ease of reference. In conclusion, the Leucosidea woodland and the high altitude are of extreme importance for bryophytes and immediate action should be taken to ensure their conservation. The high altitude basalt exposures of the Drakensberg are also of extreme importance but under considerably less threat.</t>
  </si>
  <si>
    <t>Joint Nat Conservat Comm, Peterborough PE1 1JY, Cambs, England; Queen Mary Univ London, Sch Biol Sci, London E1 4NS, England</t>
  </si>
  <si>
    <t>University of London; Queen Mary University London</t>
  </si>
  <si>
    <t>Joint Nat Conservat Comm, Monkstone House,City Rd, Peterborough PE1 1JY, Cambs, England.</t>
  </si>
  <si>
    <t>0373-6687</t>
  </si>
  <si>
    <t>1743-2820</t>
  </si>
  <si>
    <t>J BRYOL</t>
  </si>
  <si>
    <t>J. Bryol.</t>
  </si>
  <si>
    <t>10.1179/jbr.1999.21.2.133</t>
  </si>
  <si>
    <t>214WM</t>
  </si>
  <si>
    <t>WOS:000081350600005</t>
  </si>
  <si>
    <t>Stamnes, K; Ellingson, RG; Curry, JA; Walsh, JE; Zak, BD</t>
  </si>
  <si>
    <t>Review of science issues, deployment strategy, and status for the ARM North Slope of Alaska-Adjacent Arctic Ocean climate research site</t>
  </si>
  <si>
    <t>JOURNAL OF CLIMATE</t>
  </si>
  <si>
    <t>GROUND-BASED MEASUREMENTS; SURFACE RADIATIVE FLUXES; CLOUD OPTICAL-PROPERTIES; ATMOSPHERIC WATER-VAPOR; SEA-ICE; SNOW-COVER; SOLAR-RADIATION; SPECTRAL ALBEDO; ENERGY BUDGET; AVHRR DATA</t>
  </si>
  <si>
    <t>Recent climate modeling results point to the Arctic as a region that is particularly sensitive to global climate change. The Arctic warming predicted by the models to result from the expected doubling of atmospheric carbon dioxide is two to three times the predicted mean global warming, and considerably greater than the warming predicted for the Antarctic. The North Slope of Alaska-Adjacent Arctic Ocean (NSA-AAO) Cloud and Radiation Testbed (CART) site of the Atmospheric Radiation Measurement (ARM) Program is designed to collect data on temperature-ice-albedo and water vapor-cloud-radiation feedbacks, which are believed to be important to the predicted enhanced warming in the Arctic. The most important scientific issues of Arctic, as well as global, significance to be addressed at the NSA-AAO CART site are discussed, and a bl icf overview of the current approach toward, and status of, site development is provided. ARM radiometric and remote sensing instrumentation is already deployed and taking data in the perennial Arctic ice pack as part of the SHEBA (Surface l-leat Budget of the Arctic Ocean) experiment. in parallel with ARM's participation in SHEBA, the NSA-AAO facility near Barrow was formally dedicated on 1 July 1997 and began routine data collection early in 1998. This schedule permits the U.S. Department of Energy's ARM Program, NASA's Arctic Cloud program, and the SHEBA program (funded primarily by the National Science Foundation and the Office of Naval Research) to be mutually supportive. In addition, location of the NSA-AAO Barrow facility on National Oceanic and Atmospheric Administration land immediately adjacent to its Climate Monitoring and Diagnostic Laboratory Barrow Observatory includes NOAA in this major interagency Arctic collaboration.</t>
  </si>
  <si>
    <t>Univ Alaska, Inst Geophys, Fairbanks, AK 99775 USA; Univ Maryland, Dept Meteorol, College Pk, MD 20742 USA; Univ Colorado, Dept Aerosp &amp; Engn Sci, Boulder, CO 80309 USA; Univ Illinois, Dept Atmospher Sci, Urbana, IL 61801 USA; Sandia Natl Labs, Albuquerque, NM 87185 USA</t>
  </si>
  <si>
    <t>University of Alaska System; University of Alaska Fairbanks; University System of Maryland; University of Maryland College Park; University of Colorado System; University of Colorado Boulder; University of Illinois System; University of Illinois Urbana-Champaign; United States Department of Energy (DOE); Sandia National Laboratories</t>
  </si>
  <si>
    <t>Stamnes, K (corresponding author), Univ Alaska, Inst Geophys, 903 Koyukuk Dr,POB 757320, Fairbanks, AK 99775 USA.</t>
  </si>
  <si>
    <t>Walsh, John/GQI-2785-2022</t>
  </si>
  <si>
    <t>Walsh, John/0000-0002-2510-8734; Walsh, John/0000-0001-9541-5927</t>
  </si>
  <si>
    <t>0894-8755</t>
  </si>
  <si>
    <t>J CLIMATE</t>
  </si>
  <si>
    <t>J. Clim.</t>
  </si>
  <si>
    <t>10.1175/1520-0442-12.1.46</t>
  </si>
  <si>
    <t>Meteorology &amp; Atmospheric Sciences</t>
  </si>
  <si>
    <t>165XZ</t>
  </si>
  <si>
    <t>WOS:000078548300005</t>
  </si>
  <si>
    <t>Cai, WJ; Gordon, HB</t>
  </si>
  <si>
    <t>Southern high-latitude ocean climate drift in a coupled model</t>
  </si>
  <si>
    <t>GENERAL-CIRCULATION MODEL; MIXED BOUNDARY-CONDITIONS; FRESH-WATER FLUX; THERMOHALINE CIRCULATION; SEA-ICE; ATMOSPHERE MODEL; CARBON-DIOXIDE; VARIABILITY; STABILITY; PARAMETERIZATIONS</t>
  </si>
  <si>
    <t>Climate drift in coupled models affects the response of the coupled system to an external forcing. In most existing coupled models that employ Flux adjustments, the southern high latitudes, in particular, are still affected by some climate drift. In the CSIRO coupled model, within 100 years following coupling, the Antarctic Circumpolar Current (ACC) intensifies by about 30 Sv (Sv equivalent to 10(6) m(3) s(-1)). This happens despite the use of nux adjustments. Many other model fields such as sea ice, surface albedo, and heat fluxes of the coupled system also experience drift from the precoupled spinup states. It is therefore important to study the processes that give rise to these drifts. The primary cause of drift in the CSIRO model is due to changes in the pattern of convection in the Southern Ocean relative to the spinup steady state. Upon coupling, the pattern of convection alters systematically regardless of surface boundary conditions. Consequently, overturning at shallow to intermediate depths (from the surface to about 2000 m) weakens, while that below these depths intensifies. The decline of overturning at shallow to intermediate depths leads to reduced surface temperatures because a lesser amount of warm subsurface water is mixed up into the colder surface mixed layer. The cooler surface temperature leads to an initial increase in sea ice, which is exacerbated by a significant albedo-temperature-sea ice feedback. The resulting increase in sea ice formation at the higher southern latitudes leads to increased brine rejection and a general increase in salinity throughout much of the high-latitude wafer column. This increase in salinity intensifies deep convection and bottom water formation, driving a stronger ACC. Several additional experiments are performed to trace various oceanic and ocean-atmosphere feedbacks that give the drift its character. It is demonstrated that the feedbacks significant to the drift in the present model are the positive albedo-temperature-sea ice feedback and a negative feedback between sea ice and overturning. The role of these two feedbacks in the interconnection between the drifts in various model fields is discussed.</t>
  </si>
  <si>
    <t>Cai, WJ (corresponding author), CSIRO, Div Atmospher Res, PMB1, Aspendale, Vic 3195, Australia.</t>
  </si>
  <si>
    <t>Cai, Wenju/C-2864-2012</t>
  </si>
  <si>
    <t>Cai, Wenju/0000-0001-6520-0829</t>
  </si>
  <si>
    <t>10.1175/1520-0442-12.1.132</t>
  </si>
  <si>
    <t>hybrid</t>
  </si>
  <si>
    <t>WOS:000078548300012</t>
  </si>
  <si>
    <t>Boyce, SJ</t>
  </si>
  <si>
    <t>Nitrogenous excretion in the Antarctic plunderfish</t>
  </si>
  <si>
    <t>JOURNAL OF FISH BIOLOGY</t>
  </si>
  <si>
    <t>nitrogen excretion; ammonia; urea; primary amines; Antarctic; Harpagifer antarcticus</t>
  </si>
  <si>
    <t>PULSATILE UREA EXCRETION; TOADFISH OPSANUS-BETA; OXYGEN-CONSUMPTION; PRIMARY AMINES; BODY-WEIGHT; ENERGY-LOSS; FISH; AMMONIA; SEAWATER; RATION</t>
  </si>
  <si>
    <t>The nitrogenous excretion rates (total ammonia nitrogen, urea, and primary amines) of plunderfish Harpagifer antarcticus were related significantly to length and to wet mass (mass exponents of 0.94, 1.01, 1.07 and 0.93 for total ammonia nitrogen, urea, primary amines, and total nitrogen, respectively). The routine total ammonia excretion rates [22.23 +/- 2.0 mg N kg(-1) day(-1) (mean+/-S.E.)] of plunderfish measured in Antarctica are 10-69% lower than those of comparable non-polar species. Plunderfish are ammonotelic, but the proportion of the total nitrogenous waste attributable to each category was variable between individuals. On average (ranges in parentheses), total ammonia nitrogen, urea, and primary amines accounted for c, 82 (57-97), 13 (2-28), add 5 (0.6-22)%, respectively, of the total nitrogen excreted. Polar fish differ from their non-polar relatives only in the rate, and not the nature, of their nitrogenous waste excretion processes. (C) 1999 The Fisheries Society of the British Isles.</t>
  </si>
  <si>
    <t>British Antarctic Survey, Cambridge CB3 0ET, England</t>
  </si>
  <si>
    <t>Boyce, SJ (corresponding author), British Antarctic Survey, High Cross,Madingley Rd, Cambridge CB3 0ET, England.</t>
  </si>
  <si>
    <t>sara.lawrence@bas.ac.uk</t>
  </si>
  <si>
    <t>0022-1112</t>
  </si>
  <si>
    <t>1095-8649</t>
  </si>
  <si>
    <t>J FISH BIOL</t>
  </si>
  <si>
    <t>J. Fish Biol.</t>
  </si>
  <si>
    <t>10.1006/jfbi.1998.0845</t>
  </si>
  <si>
    <t>Fisheries; Marine &amp; Freshwater Biology</t>
  </si>
  <si>
    <t>156UP</t>
  </si>
  <si>
    <t>WOS:000078020700006</t>
  </si>
  <si>
    <t>Lepidi, S; Francia, P; Villante, U; Lanzerotti, LJ; Meloni, A</t>
  </si>
  <si>
    <t>Polarization pattern of low-frequency geomagnetic field fluctuations (0.8-3.6 mHz) at high and low latitude</t>
  </si>
  <si>
    <t>JOURNAL OF GEOPHYSICAL RESEARCH-SPACE PHYSICS</t>
  </si>
  <si>
    <t>LINE RESONANCES; MAGNETIC PULSATIONS; ULF PULSATIONS; WAVE-GUIDES; MICROPULSATIONS; MAGNETOSPHERE</t>
  </si>
  <si>
    <t>A statistical analysis of the polarization pattern of low-frequency geomagnetic field fluctuations (0.8-3.6 mHz) covering the entire 24-hour interval has been performed at an Antarctic station (Terra Nova Bay) and a low-latitude station (L'Aquila, Italy) during the entire 1995. The results show a complex pattern in which, in agreement with predictions, four polarization reversals occur at high latitude during the local day: A comparison with another Antarctic station, McMurdo, during a shorter interval in 1994 confirms these results. At low latitude the polarization sense in the afternoon reverses with respect to the morning, but the reversal is delayed by a few hours after the expected local noon. In Antarctica the polarization pattern does not show any dependence on frequency and season, while at L'Aquila it is better defined for frequencies below approximate to 2 mHz and during local summer.</t>
  </si>
  <si>
    <t>Univ Aquila, Dipartimento Fis, I-67010 Coppito, Laquila, Italy; Ist Nazl Geofis, I-00161 Rome, Italy; AT&amp;T Bell Labs, Lucent Technol, Murray Hill, NJ 07974 USA</t>
  </si>
  <si>
    <t>University of L'Aquila; Istituto Nazionale Geofisica e Vulcanologia (INGV); Alcatel-Lucent; Lucent Technologies; Nokia Corporation; Nokia Bell Labs; AT&amp;T</t>
  </si>
  <si>
    <t>Lepidi, S (corresponding author), Univ Aquila, Dipartimento Fis, Via Vetoio 10, I-67010 Coppito, Laquila, Italy.</t>
  </si>
  <si>
    <t>stefania.lepidi@aquila.infn.it</t>
  </si>
  <si>
    <t>Villante, Umberto/0000-0002-3630-7958</t>
  </si>
  <si>
    <t>2169-9380</t>
  </si>
  <si>
    <t>2169-9402</t>
  </si>
  <si>
    <t>J GEOPHYS RES-SPACE</t>
  </si>
  <si>
    <t>J. Geophys. Res-Space Phys.</t>
  </si>
  <si>
    <t>A1</t>
  </si>
  <si>
    <t>10.1029/1998JA900002</t>
  </si>
  <si>
    <t>Astronomy &amp; Astrophysics</t>
  </si>
  <si>
    <t>158LB</t>
  </si>
  <si>
    <t>WOS:000078116000025</t>
  </si>
  <si>
    <t>Chisham, G; Schwartz, SJ; Balikhin, MA; Dunlop, MW</t>
  </si>
  <si>
    <t>AMPTE observations of mirror mode waves in the magnetosheath: Wavevector determination</t>
  </si>
  <si>
    <t>PLASMA DEPLETION LAYER; LOW-FREQUENCY FLUCTUATIONS; QUASI-PERPENDICULAR SHOCK; EARTHS MAGNETOSHEATH; FLUXGATE MAGNETOMETER; INNER MAGNETOSHEATH; ION DISTRIBUTIONS; BOW SHOCK; INSTABILITY; MAGNETOPAUSE</t>
  </si>
  <si>
    <t>A unique method has been developed to completely determine the wavevector of a mirror mode wave using data from two closely spaced (separation less than wavelength/2) spacecraft;. The method is based on the fact that mirror mode waves are linearly polarized and have zero frequency in the plasma rest frame. The method has been tested using Active Magnetospheric Particle Tracer Explorers United Kingdom Subsatellite (AMPTE UKS) and Ion Release Module (AMPTE IRM) high-resolution magnetic field data from an interval of mirror mode waves observed in the middle magnetosheath on September 21, 1984. The results are also compared to those obtained using other methods of wavevector determination. The wavevectors estimated during the event are highly oblique to the ambient magnetic field direction as is expected from mirror wave theory. The application of the wavevector determination technique to further studies, such as studying the effect of finite electron temperature on mirror wave characteristics, is discussed.</t>
  </si>
  <si>
    <t>Univ Sheffield, Dept Automat Control &amp; Syst Engn, Sheffield S1 3JD, S Yorkshire, England; Univ London Imperial Coll Sci Technol &amp; Med, London SW7 2BZ, England; Univ London Queen Mary &amp; Westfield Coll, Astron Unit, London E1 4NS, England</t>
  </si>
  <si>
    <t>University of Sheffield; Imperial College London; University of London; Queen Mary University London</t>
  </si>
  <si>
    <t>British Antarctic Survey, NERC, Madingley Rd, Cambridge CB3 0ET, England.</t>
  </si>
  <si>
    <t>gchi@bas.ac.ub; S.J.Schwartz@qmw.ac.uk; balikhin@acse.shef.ac.uk; m.dunlop@ic.ac.uk</t>
  </si>
  <si>
    <t>dunlop, malcolm w/F-1347-2010; , Misha/U-9055-2019</t>
  </si>
  <si>
    <t>dunlop, malcolm w/0000-0002-8195-5137; Schwartz, Steven/0000-0003-0682-2753</t>
  </si>
  <si>
    <t>10.1029/1998JA900044</t>
  </si>
  <si>
    <t>WOS:000078116000034</t>
  </si>
  <si>
    <t>Iverson, NR</t>
  </si>
  <si>
    <t>Coupling between a glacier and a soft bed: II. Model results</t>
  </si>
  <si>
    <t>JOURNAL OF GLACIOLOGY</t>
  </si>
  <si>
    <t>ANTARCTIC ICE STREAM; SUBGLACIAL WATER-PRESSURE; TILL DEFORMATION; MECHANISM; STORGLACIAREN; VELOCITY; SYSTEM; SWEDEN; BASE; CONSTRAINTS</t>
  </si>
  <si>
    <t>The relation between the local effective pressure and shear stress on till beneath Storglaciaren, Sweden, discussed in Iverson and others (1999), provides an empirical basis for studying the processes that control the strength of the ice/bed coupling. Particles in the bed that protrude into the glacier sole support shear stresses that are limited by either ploughing or the traditional sliding mechanisms. Model calculations, based on studies of cone penetration through fine-grained sediment and sliding theory, agree with the observed relation between shear stress and effective pressure if the water layer at the ice/bed interface is assumed to thicken rapidly as the effective pressure approaches zero. Studies of the hydraulics of linked cavities provide support for this assumption, if the mean thickness of the water layer reflects the extent of microcavity development at the interface. Comparison of the calculated shear stress with the ultimate strength of till suggests that bed deformation limits the shear stress on till beneath Storglaciaren only at intermediate effective pressures; at very low effective pressures, like those inferred at the site of the tiltmeter discussed in Iverson and others (1999), and at sufficiently high effective pressures, ploughing and sliding should focus motion near the glacier sole. A calculation using parameter values appropriate for Ice Stream B, West Antarctica, suggests that ploughing may occur there at shear stresses not sufficient to deform the bed at depth. This conclusion is reinforced by the likelihood that pore pressures in excess of hydrostatic should develop down-glacier from ploughing particles, thereby weakening the bed near the glacier sole. However, given the apparent sensitivity of the ice/bed coupling to basal conditions that may be highly variable, any blanket assumption regarding the flow mechanism of ice masses on soft beds should probably be viewed with skepticism.</t>
  </si>
  <si>
    <t>Iowa State Univ, Dept Geol &amp; Atmospher Sci, Ames, IA 50011 USA</t>
  </si>
  <si>
    <t>Iowa State University</t>
  </si>
  <si>
    <t>Iverson, NR (corresponding author), Iowa State Univ, Dept Geol &amp; Atmospher Sci, Ames, IA 50011 USA.</t>
  </si>
  <si>
    <t>INT GLACIOL SOC</t>
  </si>
  <si>
    <t>LENSFIELD RD, CAMBRIDGE, ENGLAND CB2 1ER</t>
  </si>
  <si>
    <t>0022-1430</t>
  </si>
  <si>
    <t>J GLACIOL</t>
  </si>
  <si>
    <t>J. Glaciol.</t>
  </si>
  <si>
    <t>10.3189/S0022143000003026</t>
  </si>
  <si>
    <t>193LX</t>
  </si>
  <si>
    <t>WOS:000080138700006</t>
  </si>
  <si>
    <t>Chadwell, CD</t>
  </si>
  <si>
    <t>Reliability analysis for design of stake networks to measure glacier surface velocity</t>
  </si>
  <si>
    <t>ANTARCTIC ICE STREAM; GEODETIC DATA; CORE RECORDS; DEFORMATION; PERU; CAP</t>
  </si>
  <si>
    <t>Measurement of glacier surface velocity provides some constraint on glacier flow models used to date ice cores recovered near the flow divide of remote high-altitude ice caps. The surface velocity is inferred from the change in position of a network of stakes estimated from the least-squares adjustment of geodetic observations-terrestrial and/or spaced-based-collected approximately year apart. The lack of outliers in and the random distribution of the post-fit observation residuals are regarded as evidence that the observations contain no blunders. However, if the network lacks sufficient geometric redundancy the estimated stake positions san shift to fit erroneous observations. To determine the maximum size of these potential undetected shifts, given the covariance of the observations and the approximate network geometry expressions are developed to analyze a network for redundancy number and marginally detectable blunders (internal reliability), and the position shifts from marginally detectable blunders (external reliability). Two stake networks, one on the col of Huascaran (9 degrees 07' S, 77 degrees 37' W; 6050 m a.s.l.) in the north-central Andes of Peru and one on the Guliya ice cap (35 degrees 17' N, 81 degrees 29' E; 6200 ma.s.l.) on the Qinghai-Tibetan Plateau in China, are examined for precision and internal and external reliability.</t>
  </si>
  <si>
    <t>Univ Calif San Diego, Scripps Inst Oceanog, Marine Phys Lab, La Jolla, CA 92093 USA</t>
  </si>
  <si>
    <t>University of California System; University of California San Diego; Scripps Institution of Oceanography</t>
  </si>
  <si>
    <t>Univ Calif San Diego, Scripps Inst Oceanog, Marine Phys Lab, La Jolla, CA 92093 USA.</t>
  </si>
  <si>
    <t>EDINBURGH BLDG, SHAFTESBURY RD, CB2 8RU CAMBRIDGE, ENGLAND</t>
  </si>
  <si>
    <t>1727-5652</t>
  </si>
  <si>
    <t>WOS:000080138700017</t>
  </si>
  <si>
    <t>Pasteur, EC; Mulvaney, R</t>
  </si>
  <si>
    <t>Laboratory study of the migration of methane sulphonate in firn</t>
  </si>
  <si>
    <t>ICE</t>
  </si>
  <si>
    <t>Two 10 cm lengths of firn core from the Dyer Plateau (70 degrees 31'S, 65 degrees 01'W), Antarctic Peninsula, were used to carry out a laboratory experiment to investigate the migration of methane sulphonate, the anion of methane sulphonic acid (MSA), in natural firn. Each length was cut vertically into four pieces, and a dopant solution containing Cl-, NO3-, SO42- F- and MSA(-) pipetted onto the top of three sections, the fourth being kept as a blank. The doped sections were stored vertically, with the doped end uppermost, for 8 months at a range of temperatures (nominally -5 degrees, -10 degrees and -22 degrees C) before subsampling at 1 cm resolution and analysis by ion chromatography. The two firn lengths were treated identically and the results were consistent. Profiles of the doped firn sections showed that Cl-, NO3- and SO42- remained in the uppermost subsample, although the NO3- concentrations were variable compared to the blank. The F- profile shows slightly elevated concentrations in the second sample down compared to the blank, at: temperatures of-10 degrees C and above. The IL MSA(-) showed higher concentrations in the second, third and fourth samples down at -10 degrees C and above, which indicates that some percolated downwards from its original position at the top of the core. This experiment shows that MSA(-) is mobile in warm firn even over a short period of time. We propose that the mechanism for the mobility of MSA(-) in natural firn is via liquid MSA drainage, though we cannot yet discount vapour phase transport.</t>
  </si>
  <si>
    <t>Pasteur, EC (corresponding author), British Antarctic Survey, NERC, High Cross, Cambridge CB3 0ET, England.</t>
  </si>
  <si>
    <t>Mulvaney, Robert/K-3929-2012</t>
  </si>
  <si>
    <t>Mulvaney, Robert/0000-0002-5372-8148</t>
  </si>
  <si>
    <t>10.3189/S0022143000001714</t>
  </si>
  <si>
    <t>229QA</t>
  </si>
  <si>
    <t>WOS:000082205000004</t>
  </si>
  <si>
    <t>Delmotte, M; Raynaud, D; Morgan, V; Jouzel, J</t>
  </si>
  <si>
    <t>Climatic and glaciological information inferred from air-content measurements of a Law Dorme (East Antarctica) ice core</t>
  </si>
  <si>
    <t>POLAR ICE; CENTRAL GREENLAND; PARAMETERS; RECORD; SURFACE; ELEVATION; BUBBLES; FIRN; DOME</t>
  </si>
  <si>
    <t>The total air content (V) of ice has been measured along the Dome Summit South (DSS) core from Law Dome, East Antarctica. The main features of this record are the very well-preserved sub-annual fluctuations of V (down to at least 900 m depth) and the significant increase of the V values during the last deglaciation. The sub-annual variations reflect changes in close-off porosity, and we interpret the V seasonal peaks as tracers of depth-hear layers. For the longer time-scale, the large V fluctuations observed are interpreted in terms of elevation and/or close-off porosity changes under different assumptions. We analyze the possible influence of a different global pressure field and/or a change in seasonal temperature and precipitation cycles during the last glacial period. Our estimates of surface elevation changes derived from the V data are then compared with independent reconstructions of past elevations.</t>
  </si>
  <si>
    <t>CNRS, Lab Glaciol &amp; Geophys Environm, F-38402 St Martin Dheres, France; CEA, CNRS, UMR 1572, Lab Sci Climat &amp; Environm, F-91191 Gif Sur Yvette, France; Antarctic CRC, Hobart, Tas 7001, Australia; Australian Antarctic Div, Hobart, Tas 7001, Australia</t>
  </si>
  <si>
    <t>Centre National de la Recherche Scientifique (CNRS); Universite Paris Saclay; CEA; Centre National de la Recherche Scientifique (CNRS); Australian Antarctic Division</t>
  </si>
  <si>
    <t>Delmotte, M (corresponding author), CNRS, Lab Glaciol &amp; Geophys Environm, BP 96, F-38402 St Martin Dheres, France.</t>
  </si>
  <si>
    <t>raynaud, dominique/ABG-4718-2020; Raynaud, Dominique/H-9626-2016</t>
  </si>
  <si>
    <t>10.3189/S0022143000001751</t>
  </si>
  <si>
    <t>Green Submitted, Bronze</t>
  </si>
  <si>
    <t>WOS:000082205000008</t>
  </si>
  <si>
    <t>Liston, GE; Winther, JG; Bruland, O; Elvehoy, H; Sand, K</t>
  </si>
  <si>
    <t>Below-surface ice melt on the coastal Antarctic ice sheet</t>
  </si>
  <si>
    <t>BLUE-ICE; ENERGY-BALANCE; RADIATION-BUDGET; MAUD-LAND; SNOW; MODEL</t>
  </si>
  <si>
    <t>In the Jutulgryta area of Dronning Maud Land, Antarctica, subsurface melting of the ice sheet has been observed. The melting takes place during the summer months in blue-ice areas under conditions of below-freezing air and surface temperatures. Adjacent snow-covered regions, having the same meteorological and climatic conditions, experience little or no subsurface melting. To help explain and understand the observed melt-rate differences in the blue-ice and snow-covered areas, a physically based numerical model of the coupled atmosphere, radiation, snow and blue-ice system has been developed. The model comprises a heat-transfer equation which includes a spectrally dependent solar-radiation source term. The penetration of radiation into the snow and blue ice depends on the solar-radiation spectrum, the surface albedo and the snow and blue-ice grain-sizes and densities. In addition, the model uses a complete surface energy balance to define the surface boundary conditions. It is run over the full annual cycle, simulating temperature profiles and melting and freezing quantities throughout the summer and winter seasons. The model is driven and validated using field observations collected during the Norwegian Antarctic Research Expedition (NARE) 1996-97. The simulations suggest that the observed differences between subsurface snow and blue-ice melting can be explained largely by radiative and heat-transfer interactions resulting from differences in albedo, grain-size and density between the two mediums.</t>
  </si>
  <si>
    <t>Colorado State Univ, Dept Atmospher Sci, Ft Collins, CO 80523 USA; Norwegian Polar Res Inst, N-9005 Tromso, Norway; SINTEF, Norwegian Hydrotech Lab, N-7034 Trondheim, Norway; NVE, Norwegian Water Resources &amp; Energy Adm, N-0131 Oslo, Norway; UNIS, Univ Courses Svalbard, N-9170 Longyearbyen, Norway</t>
  </si>
  <si>
    <t>Colorado State University; Norwegian Polar Institute; SINTEF; University Centre Svalbard (UNIS)</t>
  </si>
  <si>
    <t>Liston, GE (corresponding author), Colorado State Univ, Dept Atmospher Sci, Ft Collins, CO 80523 USA.</t>
  </si>
  <si>
    <t>10.3189/S0022143000001775</t>
  </si>
  <si>
    <t>WOS:000082205000010</t>
  </si>
  <si>
    <t>Mayer, C; Huybrechts, P</t>
  </si>
  <si>
    <t>Ice-dynamic conditions across the grounding zone, Ekstromisen, East Antarctica</t>
  </si>
  <si>
    <t>FORCE BUDGET; STREAM; FLOW; SHEET; MODEL</t>
  </si>
  <si>
    <t>A detailed investigation was performed of ice-dynamic conditions across the southern grounding zone of Ekstromisen, at the mouth of a regular East: Antarctic outlet glacier not characterized by ice-streaming. accurate field measurements along a profile 20 km long served as input in a two-dimensional numerical ice-flow model in order to calculate the variation of stress, strain rate and velocity with depth. The model results point to a sharp transition between the mechanics of grounded and floating ice, with a transition zone of only a few km between the two. Vertical shear, most of it near the base, was found to be the dominant flow mechanism in grounded ice. This part: is also characterized by a distinct succession of surface undulations which are in turn controlled by variations in resistive stresses at the bottom. The associated phase shift between driving stress and basal drag was found to be accommodated by differential longitudinal pushes and pulls at the base. The flow in the upper half of the profile, on the other hand, is extensive everywhere. The adjacent ice shelf is characterized by small stress and velocity gradients in both the vertical and horizontal directions of the vertical section, and therefore has little deformation. A derived longitudinal deviatoric normal stress of only one-tenth of the value required for freely floating ice shelves reflects a large back-stress originating from friction along the side-walls of the narrow embayment.</t>
  </si>
  <si>
    <t>Alfred Wegener Inst Polar &amp; Marine Res, D-27568 Bremerhaven, Germany; Free Univ Brussels, Dept Geog, B-1050 Brussels, Belgium</t>
  </si>
  <si>
    <t>Mayer, C (corresponding author), Alfred Wegener Inst Polar &amp; Marine Res, Columbusstr, D-27568 Bremerhaven, Germany.</t>
  </si>
  <si>
    <t>10.3189/S002214300000188X</t>
  </si>
  <si>
    <t>WOS:000082205000021</t>
  </si>
  <si>
    <t>Kameda, T; Yoshimi, H; Azuma, N; Motoyama, H</t>
  </si>
  <si>
    <t>Observation of yukimarimo on the snow surface of the inland plateau, Antarctic ice sheet</t>
  </si>
  <si>
    <t>Letter</t>
  </si>
  <si>
    <t>Kitami Inst Technol, Kitami, Hokkaido 090, Japan; Japan Meteorol Agcy, Chiyoda Ku, Tokyo 100, Japan; Nagaoka Univ Technol, Niigata 94021, Japan; Natl Inst Polar Res, Itabashi Ku, Tokyo 173, Japan</t>
  </si>
  <si>
    <t>Kitami Institute of Technology; Japan Meteorological Agency; Nagaoka University of Technology; Research Organization of Information &amp; Systems (ROIS); National Institute of Polar Research (NIPR) - Japan</t>
  </si>
  <si>
    <t>Kameda, T (corresponding author), Kitami Inst Technol, 165 Koencho, Kitami, Hokkaido 090, Japan.</t>
  </si>
  <si>
    <t>Kameda, Takao/0000-0001-6317-4399</t>
  </si>
  <si>
    <t>10.3189/S0022143000001891</t>
  </si>
  <si>
    <t>WOS:000082205000022</t>
  </si>
  <si>
    <t>Schlosser, E</t>
  </si>
  <si>
    <t>Effects of seasonal variability of accumulation on yearly mean δ18O values in Antarctic snow</t>
  </si>
  <si>
    <t>DRONNING-MAUD-LAND; CLIMATIC INFORMATION; SOUTH-POLE; ICE; RECORD; CORES; FIRN</t>
  </si>
  <si>
    <t>The annual mean oxygen-isotope content of Antarctic snow is strongly influenced by the seasonal variability of accumulation. Since the annual mean delta(18)O value is frequently used to derive mean annual temperatures from ice cores, changes in atmospheric circulation pattern can lead to large errors in the deduced temperature record. At the German Antarctic wintering base, Neumayer, accumulation measurements have been carried out continuously over the last 16 years. Weekly readings of accumulation stakes combined with snow pits and shallow firn cores are used to investigate the influence of the seasonal, variability of accumulation on the annual mean delta(18)O values and to estimate the possible error in the determination of annual mean temperatures from ice cores by using the oxygen-isotope record.</t>
  </si>
  <si>
    <t>Univ Innsbruck, Sch Meteorol &amp; Geophys, A-6020 Innsbruck, Austria</t>
  </si>
  <si>
    <t>University of Innsbruck</t>
  </si>
  <si>
    <t>Univ Innsbruck, Sch Meteorol &amp; Geophys, A-6020 Innsbruck, Austria.</t>
  </si>
  <si>
    <t>10.3189/S0022143000001325</t>
  </si>
  <si>
    <t>284HY</t>
  </si>
  <si>
    <t>WOS:000085327200006</t>
  </si>
  <si>
    <t>Truffer, M; Motyka, RJ; Harrison, WD; Echelmeyer, KA; Fisk, B; Tulaczyk, S</t>
  </si>
  <si>
    <t>Subglacial drilling at Black Rapids Glacier, Alaska, USA: drilling method and sample descriptions</t>
  </si>
  <si>
    <t>GRAIN-SIZE DISTRIBUTION; ANTARCTIC ICE STREAM; SEDIMENT; TILL; BED; DEFORMATION; MECHANISM; RHEOLOGY; EROSION; MOTION</t>
  </si>
  <si>
    <t>We employed a commercial wireline drill rig to investigate the subglacial conditions of Black Rapids Glacier, a well-studied surge-type glacier in the central Alaska Range. The four main goals were: to assess the capabilities of the commercial drilling industry for sampling subglacial material, to investigate the basal morphology, to determine the subglacial geology and to emplace borehole instruments. The drilling was done in an area where seasonal and secular variations in speed are large, and where seismic studies suggested the presence of a till layer. Four holes were drilled at three locations to a maximum depth of 620 m. Three holes yielded samples of basal ice and till, although recovery of the latter was generally poor. Bedrock was sampled in one or possibly two of the holes. In the area sampled, the glacier is underlain by a till layer some 4-7 m thick, confirming the seismic interpretation. It consists of a sandy matrix at least 20-30% of which comprises larger clasts. Limited samples of the matrix indicate that near the top of the till the porosity is 40%, and that some of the pore water is frozen. Geologic studies suggest that the drilling area lies to the north of the Denali Fault, a major tectonic boundary followed by the glacier, and that most of the till is locally derived with transport distances of &lt;2 km.</t>
  </si>
  <si>
    <t>Univ Alaska Fairbanks, Inst Geophys, Fairbanks, AK 99775 USA; Univ Kentucky, Lexington, KY 40506 USA</t>
  </si>
  <si>
    <t>University of Alaska System; University of Alaska Fairbanks; University of Kentucky</t>
  </si>
  <si>
    <t>Truffer, M (corresponding author), Univ Alaska Fairbanks, Inst Geophys, Fairbanks, AK 99775 USA.</t>
  </si>
  <si>
    <t>Tulaczyk, Slawek/O-7375-2018</t>
  </si>
  <si>
    <t>Tulaczyk, Slawek/0000-0002-9711-4332</t>
  </si>
  <si>
    <t>10.3189/S0022143000001350</t>
  </si>
  <si>
    <t>WOS:000085327200009</t>
  </si>
  <si>
    <t>Hindmarsh, RCA</t>
  </si>
  <si>
    <t>On the numerical computation of temperature in an ice sheet</t>
  </si>
  <si>
    <t>Quadrature solutions for temperature fields in the central regions of ice sheets where flow is by internal deformation are presented and compared with numerical computations and the European Ice Sheet Modelling Initiative (EISMINT) Benchmark standards. The solution appears to be more accurate than the EISMINT Benchmark standards for thermomechanically uncoupled temperature distributions. The ability of finite-difference and pseudo-spectral methods to reproduce this solution is considered. Errors in the EISMINT Benchmark are larger than expected. The possibility that they could arise from inaccurate evaluation of the vertical velocity is considered, and found to be unlikely. Formulae for computing the vertical velocity in Jenssen's sigma coordinate are complicated and may lead to programming errors. A simple form of the heat-transport equation in the sigma coordinate for flow by sliding and internal deformation is derived and presented, and it is shown how this form is particularly suitable for finite-element computations. It is also shown that only two quadratures are necessary to compute the vertical and horizontal heat transport and the ice flux.</t>
  </si>
  <si>
    <t>Hindmarsh, RCA (corresponding author), British Antarctic Survey, NERC, Madingley Rd,High Cross, Cambridge CB3 0ET, England.</t>
  </si>
  <si>
    <t>Hindmarsh, Richard/N-1195-2019</t>
  </si>
  <si>
    <t>Hindmarsh, Richard/0000-0003-1633-2416</t>
  </si>
  <si>
    <t>10.3189/S0022143000001441</t>
  </si>
  <si>
    <t>WOS:000085327200018</t>
  </si>
  <si>
    <t>Ivchenko, VO; Krupitsky, AE; Kamenkovich, VM; Wells, NC</t>
  </si>
  <si>
    <t>Modeling the Antarctic circumpolar current: A comparison of FRAM and equivalent barotropic model results</t>
  </si>
  <si>
    <t>JOURNAL OF MARINE RESEARCH</t>
  </si>
  <si>
    <t>GENERAL-CIRCULATION MODEL; OCEAN CIRCULATION; SOUTHERN-OCEAN</t>
  </si>
  <si>
    <t>Analyzing the FRAM simulations, Kinworth (1992) noticed a strong tendency for self-similarity in the vertical structure of the velocity field of the Antarctic Circumpolar Current (ACC). By assuming the self-similarity as a hypothesis, Krupitsky et al. (1996) developed an equivalent barotropic (EB) model of the ACC capable of describing the horizontal structure of the ACC. Compared to the multi-level-primitive-equation GCM, the EB model appeared substantially simpler and therefore useful in pilot process-oriented and sensitivity studies. In the present study dynamical and kinematical comparisons of the EB and FRAM outputs are given.</t>
  </si>
  <si>
    <t>Univ Southampton, Dept Oceanog, Southampton S014 3ZH, Hants, England; Woods Hole Oceanog Inst, Woods Hole, MA 02543 USA; Univ So Mississippi, Dept Marine Sci, Stennis Space Ctr, MS 39529 USA</t>
  </si>
  <si>
    <t>NERC National Oceanography Centre; University of Southampton; Woods Hole Oceanographic Institution; University of Southern Mississippi</t>
  </si>
  <si>
    <t>Ivchenko, VO (corresponding author), CALTECH, Jet Prop Lab, 4800 Oak Grove Dr, Pasadena, CA 91109 USA.</t>
  </si>
  <si>
    <t>KLINE GEOLOGY LABORATORY</t>
  </si>
  <si>
    <t>NEW HAVEN</t>
  </si>
  <si>
    <t>YALE UNIV, NEW HAVEN, CT 06520-8109 USA</t>
  </si>
  <si>
    <t>0022-2402</t>
  </si>
  <si>
    <t>J MAR RES</t>
  </si>
  <si>
    <t>J. Mar. Res.</t>
  </si>
  <si>
    <t>10.1357/002224099765038553</t>
  </si>
  <si>
    <t>173AT</t>
  </si>
  <si>
    <t>WOS:000078959300002</t>
  </si>
  <si>
    <t>Louanchi, F; Ruiz-Pino, DP; Poisson, A</t>
  </si>
  <si>
    <t>Temporal variations of mixed-layer oceanic CO2 at JGOFS-KERFIX time-series station:: Physical versus biogeochemical processes</t>
  </si>
  <si>
    <t>ATMOSPHERIC CARBON-DIOXIDE; ANTARCTIC OCEANS; NORTH PACIFIC; SEA; TEMPERATURE; WATERS; NUTRIENTS; SEAWATER; PRESSURE; EXCHANGE</t>
  </si>
  <si>
    <t>The seasonal and interannual variations in mixed-layer carbon dioxide in the Southern Ocean are analyzed from January 1990 to March 1995 at KERFIX time-series station (50 degrees 40S-69 degrees 25E). The temperature, salinity and chlorophyll time series are used as constraints on a simple box model to extrapolate total dissolved inorganic carbon (DIC), total alkalinity (TA) and oceanic CO2 fugacity (fCO(2)) over the five years of the monitoring. Results of the simulation are compared to all available observations. Both measured and simulated DIC and TA give seasonal signals of 25 mu mol/kg and 8 mu eq/kg, respectively. In spite of a weak primary production about 70 gC/m(2)/yr, the biological pump appears to play a significant role on seasonal and interannual variations in air-sea CO2 exchanges. Its contribution varies from 10 to 45% of the total sea surface fCO(2) variations depending on the period. This area has been a sink for atmospheric CO2 with annual mean values of -0.8 to -3.0 mol/m(2)/yr during the whole period investigated. Annually the CO2 sink is due to the balance between biological activity and mixing processes on fCO(2) inducing thermodynamically mediated variations. The sink's interannual variations appear to be mainly due to the high variability of the wind speeds and hence, of the mixed-layer depth. The impact of the anthropogenic atmospheric CO2 increase on oceanic fCO(2) is also investigated. The rate of increase of oceanic fCO(2) (0.6 mu atm/yr) was half that of atmospheric fCO(2) (1.2 mu atm/yr). The increase of the air-sea CO2 gradient lead to an increase of the CO2 sink of about 0.07 mol/m2/yr (0.02 GtC/yr) over the five years investigated.</t>
  </si>
  <si>
    <t>Univ Paris 06, Phys &amp; Chim Marines Lab, CNRS, F-75252 Paris 05, France</t>
  </si>
  <si>
    <t>Sorbonne Universite; Centre National de la Recherche Scientifique (CNRS)</t>
  </si>
  <si>
    <t>Louanchi, F (corresponding author), Penn State Univ, Dept Meteorol, 503 Walker Bldg, University Pk, PA 16802 USA.</t>
  </si>
  <si>
    <t>ferial@essc.psu.edu</t>
  </si>
  <si>
    <t>SEARS FOUNDATION MARINE RESEARCH</t>
  </si>
  <si>
    <t>YALE UNIV, KLINE GEOLOGY LAB, 210 WHITNEY AVENUE, NEW HAVEN, CT 06520-8109 USA</t>
  </si>
  <si>
    <t>1543-9542</t>
  </si>
  <si>
    <t>10.1357/002224099765038607</t>
  </si>
  <si>
    <t>WOS:000078959300007</t>
  </si>
  <si>
    <t>Pakhomov, EA; Froneman, PW</t>
  </si>
  <si>
    <t>The Prince Edward Islands pelagic ecosystem, south Indian ocean: A review of achievements, 1976-1990</t>
  </si>
  <si>
    <t>JOURNAL OF MARINE SYSTEMS</t>
  </si>
  <si>
    <t>Prince Edward Islands; Subantarctic Front; southern ocean; land-mass effect; life-support system; pelagic ecosystem; land-based top predators</t>
  </si>
  <si>
    <t>ANTARCTIC MARION ISLAND; CIRCUMPOLAR CURRENT; ARCHIPELAGO; PENGUINS; AFRICA; ZOOPLANKTON; ENVIRONMENT; COMMUNITY; DRIFTERS; BIOMASS</t>
  </si>
  <si>
    <t>This review summarizes the main research findings of the multi-year oceanographic and biological studies conducted in the vicinity of the Prince Edward Archipelago during the period 1976 to 1990. The Prince Edward Islands represent a flow-through system on the mainstream of the Antarctic Circumpolar Current. Although there are no taxonomic differences between the pelagic communities of the upstream, inter-island and downstream regions, these mesoscale subsystems may operate differently. The mesoscale oceanographic and biological processes appear to be affected by the position of the Subantarctic Front (SAF) in the vicinity of the islands. Both the rich benthic community, which is supported by the local enhancement of primary production, and the strong advection of zooplankton/micronekton from the upstream region provide the food resources necessary for the survival of the huge community of land-based predators present on the islands. Collectively this is termed the 'life-support system'. Future studies should concentrate on the meridional shifts in the position of the SAF and its influence on background productivity upstream and downstream of the Prince Edward Archipelago. (C) 1999 Elsevier Science B.V. All rights reserved.</t>
  </si>
  <si>
    <t>Rhodes Univ, Dept Zool &amp; Entomol, So Ocean Grp, ZA-6140 Grahamstown, South Africa</t>
  </si>
  <si>
    <t>Rhodes University</t>
  </si>
  <si>
    <t>Rhodes Univ, Dept Zool &amp; Entomol, So Ocean Grp, POB 94, ZA-6140 Grahamstown, South Africa.</t>
  </si>
  <si>
    <t>zoep@warthog.ru.ac.za</t>
  </si>
  <si>
    <t>Froneman, William/C-9085-2012; Froneman, William/GLS-0460-2022</t>
  </si>
  <si>
    <t>Froneman, William/0000-0003-0615-1355</t>
  </si>
  <si>
    <t>0924-7963</t>
  </si>
  <si>
    <t>1879-1573</t>
  </si>
  <si>
    <t>J MARINE SYST</t>
  </si>
  <si>
    <t>J. Mar. Syst.</t>
  </si>
  <si>
    <t>10.1016/S0924-7963(97)00112-7</t>
  </si>
  <si>
    <t>Geosciences, Multidisciplinary; Marine &amp; Freshwater Biology; Oceanography</t>
  </si>
  <si>
    <t>Geology; Marine &amp; Freshwater Biology; Oceanography</t>
  </si>
  <si>
    <t>149RH</t>
  </si>
  <si>
    <t>WOS:000077618800004</t>
  </si>
  <si>
    <t>Aguilera, J; Jiménez, C; Figueroa, FL; Lebert, M; Häder, DP</t>
  </si>
  <si>
    <t>Effect of ultraviolet radiation on thallus absorption and photosynthetic pigments in the red alga Porphyra umbilicalis</t>
  </si>
  <si>
    <t>JOURNAL OF PHOTOCHEMISTRY AND PHOTOBIOLOGY B-BIOLOGY</t>
  </si>
  <si>
    <t>intertidal system; UV radiation; thallus absorption; package effect; photosynthesis; photoinhibition; Porphyra</t>
  </si>
  <si>
    <t>ANTARCTIC MARINE ORGANISMS; UV-B; CHLOROPHYLL FLUORESCENCE; SOLAR IRRADIATION; EUGLENA-GRACILIS; CHONDRUS-CRISPUS; ENERGY-TRANSFER; LIGHT; PHOTOINHIBITION; PHYTOPLANKTON</t>
  </si>
  <si>
    <t>The effect of ultraviolet (UV) radiation on thallus absorption, package effect, the concentration of photosynthetic pigments, photosynthetic oxygen production and effective quantum yield has been studied in the intertidal red macroalga Porphyra umbilicalis in the laboratory. High doses of UV-A and UV-B radiation result in a rapid decrease of thallus absorption and, after a 6 h exposure, total absorption is reduced to 25% of the initial value. Moreover, significant differences in the absorption peaks of the main pigments are found: while chlorophyll a (Chl a) and phycocyanin absorption peaks decrease by 65-67%, carotenoids and phycoerythrin (PE) peaks decrease by 75-82%. Uncoupling of the transfer of energy between PE and Chi a by UV is revealed by a gradual increase of fluorescence of PE up to 11 h of exposure, followed by a subsequent decrease of fluorescence of the PE, in parallel with the photobleaching of the pigments. Thalli with higher pigment concentration present a greater sensitivity to UV radiation, as revealed by a more pronounced decrease in total thallus absorption, oxygen production and effective quantum yield, and a less effective recovery under low irradiation. Exposure of the thalli to artificial UV radiation in an experimental chamber with spectra and doses more similar to those of the natural environment reveals that PAR + UV-A radiation promotes a gradual increase of the total absorption over 24 h; in contrast, PAR + UV-A + UV-B induces a significant decrease of the thallus absorption. However, the concentration in vitro of Chl a, carotenoids and biliproteins does not change in any of these light treatments. The spectrally averaged in vivo absorption cross section normalized to Chl a (a*) increases after 24 h in PAR + UV-A, but it does not change in PAR and PAR + UV-A + UV-B, indicating that the degree of packing of the pigments in the membranes of the thylakoids (package effect) is decreased by PAR + UV-A, but that the reverse is induced by PAR + UV-A + UV-B. It is proposed that UV-A radiation induces an enhancement of the efficiency of light capture mediated by a relaxation of pigment packing in the light-harvesting antennae of this intertidal macroalga, while the reverse is promoted by UV-B radiation. (C) 1999 Elsevier Science S.A. All rights reserved.</t>
  </si>
  <si>
    <t>Univ Malaga, Fac Ciencias, Dept Ecol, E-29071 Malaga, Spain; Univ Erlangen Nurnberg, Inst Bot &amp; Pharmazeut Biol, D-91058 Erlangen, Germany</t>
  </si>
  <si>
    <t>Universidad de Malaga; University of Erlangen Nuremberg</t>
  </si>
  <si>
    <t>Jiménez, C (corresponding author), Univ Malaga, Fac Ciencias, Dept Ecol, Campus Univ Teatinos S-N, E-29071 Malaga, Spain.</t>
  </si>
  <si>
    <t>Jimenez, Carlos/H-8435-2015; Aguilera, Jose/AGT-5247-2022; Lopez Figueroa, Felix Diego/K-7720-2014</t>
  </si>
  <si>
    <t>Aguilera, Jose/0000-0002-1911-111X; Lopez Figueroa, Felix Diego/0000-0003-3580-4693</t>
  </si>
  <si>
    <t>ELSEVIER SCIENCE SA</t>
  </si>
  <si>
    <t>LAUSANNE</t>
  </si>
  <si>
    <t>PO BOX 564, 1001 LAUSANNE, SWITZERLAND</t>
  </si>
  <si>
    <t>1011-1344</t>
  </si>
  <si>
    <t>J PHOTOCH PHOTOBIO B</t>
  </si>
  <si>
    <t>J. Photochem. Photobiol. B-Biol.</t>
  </si>
  <si>
    <t>10.1016/S1011-1344(99)00015-9</t>
  </si>
  <si>
    <t>Biochemistry &amp; Molecular Biology; Biophysics</t>
  </si>
  <si>
    <t>183KP</t>
  </si>
  <si>
    <t>WOS:000079553000011</t>
  </si>
  <si>
    <t>Curtis, ML</t>
  </si>
  <si>
    <t>Structural and kinematic evolution of a Miocene to Recent sinistral restraining bend: the Montejunto massif, Portugal</t>
  </si>
  <si>
    <t>JOURNAL OF STRUCTURAL GEOLOGY</t>
  </si>
  <si>
    <t>SAN-ANDREAS FAULT; CALIFORNIA; TRANSPRESSION; DEFORMATION; TECTONICS; REGION; ZONE; USA</t>
  </si>
  <si>
    <t>The Montejunto massif lies in the apex of a large-scale restraining bend at the southern termination of a sinistral transpressive fault system, in the Lusitanian basin of Portugal. Cenozoic deformation within the Montejunto massif initiated with southerly directed thrusting along the southern boundary of the massif, in association with the development of the E-W oriented Montejunto anticline, probably during the Langhian. Deformation switched to the northern boundary of the massif, in association with a change to NW-directed thrusting and continued development of the Montejunto anticline. The youngest set of structures within the massif is related to the sinistral reactivation of the Arieiro fault system, and steeply inclined bedding. This late phase of deformation represents the accommodation of a component of sinistral displacement across the restraining bend along mechanical anisotropies formed during this progressive Cenozoic deformation event. Variation in the kinematic style of the Main Arieiro fault is related to the angle (alpha) between the fault plane and the displacement vector. Where alpha approximate to 20 degrees, abrupt pene-contemporaneous switches in displacement direction are recorded along the fault, whereas strike-slip kinematics predominate where alpha &lt; 20 degrees. The timing of deformation events in the Montejunto massif is uncertain. However, correlation with the established Cenozoic Africa/Europe plate convergence directions may provide potential temporal constraints. (C) 1998 Elsevier Science Ltd. All rights reserved.</t>
  </si>
  <si>
    <t>Univ Durham, Dept Geol Sci, Sci Labs, Durham DH1 3HP, England</t>
  </si>
  <si>
    <t>Durham University</t>
  </si>
  <si>
    <t>Curtis, ML (corresponding author), British Antarctic Survey, NERC, High Cross,Madingley Rd, Cambridge CB3 0ET, England.</t>
  </si>
  <si>
    <t>m.curtis@bas.ac.uk</t>
  </si>
  <si>
    <t>Curtis, Mike/HKV-6176-2023</t>
  </si>
  <si>
    <t>0191-8141</t>
  </si>
  <si>
    <t>J STRUCT GEOL</t>
  </si>
  <si>
    <t>J. Struct. Geol.</t>
  </si>
  <si>
    <t>10.1016/S0191-8141(98)00095-9</t>
  </si>
  <si>
    <t>157CW</t>
  </si>
  <si>
    <t>WOS:000078042900004</t>
  </si>
  <si>
    <t>Hyer, RN</t>
  </si>
  <si>
    <t>Telemedical experiences at an Antarctic station</t>
  </si>
  <si>
    <t>JOURNAL OF TELEMEDICINE AND TELECARE</t>
  </si>
  <si>
    <t>Wintering-over in Antarctica represents a physician's most remote and inaccessible scenario, apart from a space station. Because of the harsh and unpredictable winter weather, Antarctic stations are typically inaccessible for over six months of the year. Telephone and fax communication, and recently other forms of telemedicine, have provided vital links to specialists. The author was the sole physician for more than 250 people wintering-over during the 1995 austral winter at McMurdo Station. There were several instances of serious or life-threatening illness where the author relied on teleconsultation. These cases included new-onset coronary artery disease, posterior hip dislocation, complicated Colles' fracture and acute appendicitis. There were also numerous consultations for non-emergency clinical presentations normally managed by specialists. Telemedicine was a crucial link to specialists from the remote and inaccessible environment of Antarctica.</t>
  </si>
  <si>
    <t>USN, Support Force Antarctica, Dept Med, McMurdo Stn, New Zealand</t>
  </si>
  <si>
    <t>Hyer, RN (corresponding author), USN, Environm &amp; Prevent Med Unit 7, PSC 824,Box 2760, FPO, AE 09623 USA.</t>
  </si>
  <si>
    <t>sig1mh@sig10.med.navy.mil</t>
  </si>
  <si>
    <t>SAGE PUBLICATIONS LTD</t>
  </si>
  <si>
    <t>1 OLIVERS YARD, 55 CITY ROAD, LONDON EC1Y 1SP, ENGLAND</t>
  </si>
  <si>
    <t>1357-633X</t>
  </si>
  <si>
    <t>1758-1109</t>
  </si>
  <si>
    <t>J TELEMED TELECARE</t>
  </si>
  <si>
    <t>J. Telemed. Telecare</t>
  </si>
  <si>
    <t>10.1258/1357633991932702</t>
  </si>
  <si>
    <t>Health Care Sciences &amp; Services</t>
  </si>
  <si>
    <t>175NT</t>
  </si>
  <si>
    <t>WOS:000079101100036</t>
  </si>
  <si>
    <t>Stoker, MS; Howe, JA; Stoker, SJ</t>
  </si>
  <si>
    <t>Late Vendian-? Cambrian glacially influenced deep-water sedimentation, Macduff Slate Formation (Dalradian), NE Scotland</t>
  </si>
  <si>
    <t>JOURNAL OF THE GEOLOGICAL SOCIETY</t>
  </si>
  <si>
    <t>Macduff Slate Fm; upper Dalradian; Scotland; glaciomarine sedimentation; deep-sea sedimentation</t>
  </si>
  <si>
    <t>NORTHERN ROCKALL TROUGH; FAEROE-SHETLAND CHANNEL; ATLANTIC-OCEAN; CONTINENTAL-MARGIN; HEBRIDES SLOPE; STRATIGRAPHY; RECORD</t>
  </si>
  <si>
    <t>The deep-water metasedimentary rocks of the late Dalradian Macduff Slate Formation preserve a record of distal glaciomarine sedimentation in the form of ice-rafted dropstones and related bedding-deformation structures, glaciogenic debris-how diamictites and an allochthonous slump unit. The input of ice-rafted debris was cyclical and probably related to periodic disintegration of the marine margin of an ice sheet. Downslope resedimentation processes, typical of glaciated continental margins, were responsible for the diamictites and slump deposits which were probably derived from the adjacent outer shelf and upper slope, in common with Pleistocene analogues off NW Britain. The uppermost diamictite bed is an integral part of the deep-marine succession, in contrast to the previously proposed lodgement-till hypothesis.</t>
  </si>
  <si>
    <t>British Geol Survey, Edinburgh EH9 3LA, Midlothian, Scotland; British Antarctic Survey, Cambridge CB3 0ET, England; British Geol Survey, DTI Core Store, Edinburgh EH17 7QS, Midlothian, Scotland</t>
  </si>
  <si>
    <t>UK Research &amp; Innovation (UKRI); Natural Environment Research Council (NERC); NERC British Geological Survey; UK Research &amp; Innovation (UKRI); Natural Environment Research Council (NERC); NERC British Antarctic Survey; UK Research &amp; Innovation (UKRI); Natural Environment Research Council (NERC); NERC British Geological Survey</t>
  </si>
  <si>
    <t>Stoker, MS (corresponding author), British Geol Survey, Murchison House,W Mains Rd, Edinburgh EH9 3LA, Midlothian, Scotland.</t>
  </si>
  <si>
    <t>m.stoker@bgs.ac.uk</t>
  </si>
  <si>
    <t>Stoker, Martyn/0000-0002-5314-0950</t>
  </si>
  <si>
    <t>GEOLOGICAL SOC PUBL HOUSE</t>
  </si>
  <si>
    <t>BATH</t>
  </si>
  <si>
    <t>UNIT 7, BRASSMILL ENTERPRISE CENTRE, BRASSMILL LANE, BATH BA1 3JN, AVON, ENGLAND</t>
  </si>
  <si>
    <t>0016-7649</t>
  </si>
  <si>
    <t>2041-479X</t>
  </si>
  <si>
    <t>J GEOL SOC LONDON</t>
  </si>
  <si>
    <t>J. Geol. Soc.</t>
  </si>
  <si>
    <t>10.1144/gsjgs.156.1.0055</t>
  </si>
  <si>
    <t>158VA</t>
  </si>
  <si>
    <t>WOS:000078137000008</t>
  </si>
  <si>
    <t>Wasano, N; Imura, S; Ohba, M</t>
  </si>
  <si>
    <t>Failure to recover Bacillus thuringiensis from the Lutzow-Holm Bay region of Antarctica</t>
  </si>
  <si>
    <t>LETTERS IN APPLIED MICROBIOLOGY</t>
  </si>
  <si>
    <t>JAPAN; TOXICITY; SOILS</t>
  </si>
  <si>
    <t>A total of 65 samples, consisting of 19 floral materials and 46 soil samples, collected from a coastal area of Lutzow-Holm Bay on the Antarctic sub-continent, were examined for the presence of Bacillus thuringiensis. The frequency of samples containing aerobic spore-forming bacteria was 41.5% and most of the sporeformers were not allied to the B. cereus group. Only one sample from a floating mat of blue-green algae contained B. cereus-like sporeformers. However, there was no evidence for the formation of parasporal inclusions in these isolates. The result suggests that the a mesophile widely distributed in other environments.</t>
  </si>
  <si>
    <t>Kyushu Univ, Fac Agr, Inst Biol Control, Fukuoka 8128581, Japan; Natl Inst Polar Res, Tokyo 173, Japan</t>
  </si>
  <si>
    <t>Kyushu University; Research Organization of Information &amp; Systems (ROIS); National Institute of Polar Research (NIPR) - Japan</t>
  </si>
  <si>
    <t>Ohba, M (corresponding author), Kyushu Univ, Fac Agr, Inst Biol Control, Fukuoka 8128581, Japan.</t>
  </si>
  <si>
    <t>ohba@grt.kyushu-u.ac.jp</t>
  </si>
  <si>
    <t>BLACKWELL SCIENCE LTD</t>
  </si>
  <si>
    <t>P O BOX 88, OSNEY MEAD, OXFORD OX2 0NE, OXON, ENGLAND</t>
  </si>
  <si>
    <t>0266-8254</t>
  </si>
  <si>
    <t>LETT APPL MICROBIOL</t>
  </si>
  <si>
    <t>Lett. Appl. Microbiol.</t>
  </si>
  <si>
    <t>10.1046/j.1472-765X.1999.00471.x</t>
  </si>
  <si>
    <t>Biotechnology &amp; Applied Microbiology; Microbiology</t>
  </si>
  <si>
    <t>163DP</t>
  </si>
  <si>
    <t>WOS:000078388000010</t>
  </si>
  <si>
    <t>Russell, RW</t>
  </si>
  <si>
    <t>Musick, JA</t>
  </si>
  <si>
    <t>Comparative demography and life history tactics of seabirds: Implications for conservation and marine monitoring</t>
  </si>
  <si>
    <t>LIFE IN THE SLOW LANE: ECOLOGY AND CONSERVATION OF LONG-LIVED MARINE ANIMALS</t>
  </si>
  <si>
    <t>American Fisheries Society Symposium</t>
  </si>
  <si>
    <t>Symposium on Conservation of Long-Lived Marine Animals</t>
  </si>
  <si>
    <t>AUG 24, 1997</t>
  </si>
  <si>
    <t>MONTEREY, CA</t>
  </si>
  <si>
    <t>SHEARWATERS PUFFINUS-TENUIROSTRIS; ANTARCTIC CIRCUMPOLAR WAVE; SOUTHEAST FARALLON-ISLAND; ISLE-OF-MAY; POPULATION-DYNAMICS; BREEDING BIOLOGY; REPRODUCTIVE EFFORT; PHALACROCORAX-ARISTOTELIS; MORTALITY-RATES; BIRD-ISLAND</t>
  </si>
  <si>
    <t>Seabirds become mature at a late age, experience low annual fecundity, often refrain from breeding, and enjoy annual adult survival rates as high as 98%. This suite of life history characteristics limits the capacity for seabird populations to recover quickly from major perturbations, and presents important conservation challenges. Concern over anthropogenic impacts on seabird populations has led to the initiation of long-term field programs to monitor seabird reproductive performance and population dynamics. In addition, seabirds have been recognized as potentially useful and economical indicators of the state of the marine environment and, in particular the status of commercially important prey stocks. This paper reviews demographic and Tife history attributes of seabird populations and uses this information to explore the consequences of longevity from the respective standpoints of conservation and monitoring goals. Analysis of a simplified life cycle model reveals that maximum potential population growth rates (lambda) under ideal circumstances fall within the range of 1.03-1.12 for most species, though growth rates realized in nature will always be lower. Elasticity analysis confirms that seabird population growth rates are extremely sensitive to small Variations in adult survival rates, and dictates that survival monitoring should be considered an essential component of conservation strategies. As in other organisms with long life spans, ecological and physiological costs of reproduction are expected to figure prominently in seabird reproductive decisions. Consequently, understanding how seabirds allocate reproductive effort in response to varying environmental conditions is an important prerequisite for correctly interpreting held data from monitoring studies.</t>
  </si>
  <si>
    <t>Louisiana State Univ, Museum Nat Sci, Baton Rouge, LA 70803 USA</t>
  </si>
  <si>
    <t>Louisiana State University System; Louisiana State University</t>
  </si>
  <si>
    <t>Louisiana State Univ, Museum Nat Sci, 119 Foster Hall, Baton Rouge, LA 70803 USA.</t>
  </si>
  <si>
    <t>Bond, Alexander L/A-3786-2010</t>
  </si>
  <si>
    <t>AMER FISHERIES SOC</t>
  </si>
  <si>
    <t>BETHESDA</t>
  </si>
  <si>
    <t>5410 GROSVENOR LANE, STE 110, BETHESDA, MD 20814-2199 USA</t>
  </si>
  <si>
    <t>0892-2284</t>
  </si>
  <si>
    <t>1-888569-15-8</t>
  </si>
  <si>
    <t>AM FISH S S</t>
  </si>
  <si>
    <t>Am. Fish. Soc. Symp.</t>
  </si>
  <si>
    <t>Fisheries; Marine &amp; Freshwater Biology; Oceanography</t>
  </si>
  <si>
    <t>BN69L</t>
  </si>
  <si>
    <t>WOS:000082615800005</t>
  </si>
  <si>
    <t>Chaloupka, M; Osmond, M</t>
  </si>
  <si>
    <t>Spatial and seasonal distribution of humpback whales in the Great Barrier Reef region</t>
  </si>
  <si>
    <t>AMERICAN FISHERIES SOCIETY SYMPOSIUM</t>
  </si>
  <si>
    <t>MEGAPTERA-NOVAEANGLIAE; SEA-ICE; MIGRATION; RECRUITMENT; PACIFIC</t>
  </si>
  <si>
    <t>The spatial and seasonal distribution of humpback whales in the Great Barrier Reef Marine Park (GBRMP) was defined using data from a systematic aerial surveillance program. The data comprised 414 pod sightings (812 individuals) recorded from July 1982 to March 1996. These sightings were supposedly of humpbacks from the east Australian Group V substock that migrates during the austral autumn from Antarctic feeding grounds to winter breeding grounds in GBR waters. Humpbacks were sighted in all months and throughout the GBRMP. However, most pods (75%) were sighted in southern GBR waters (below 19 degrees S) and mainly during winter and spring (July to September). Occasional sightings of humpbacks in northern GBR waters (above 16 degrees S) in summer supports previous claims of a substock resident year-round in northern Australian tropical waters. Mother-calf sightings were rare with most recorded below 21 degrees S and mainly in August and September. These limited sightings suggest that the main calving grounds for the east Australian Group V substock occur in the extensive southern GBR lagoonal waters defined northward by the Whitsunday Group of islands and reefs and eastward by the Pompey/Swains reef complex An estimate of the crude birth rate was 0.072 (95% confidence interval [CI]: 0.06-0.11) with Monte Carlo estimates of the median calving rate at 0.3 calves per mature female per year (95% CI: 0.22-0.43) and the median interbirth interval at 3.4 years (95% CI: 2.3-4.5) indicating low and variable juvenile recruitment. Nonparametric time series analysis (seasonal and trend decomposition using loess, STL) of monthly humpback sightings showed that the long-term trend in sightings was increasing but that there was significant inter-annual variability in the seasonal abundance of humpbacks in the GBRMP. The STL analysis also suggested that the frequency of sightings increased earlier in winter (June) and later in the season during spring/summer (October to December). Time series regression analysis of the STL-derived trend in sightings suggested that the east Australian Group V substock increased slowly in abundance over the 14 years from 1982 to 1996 at about 3.9% per year (95% CI: 1.9% to 5.1%)-a finding consistent with an estimate of low and variable juvenile recruitment.</t>
  </si>
  <si>
    <t>WOS:000082615800007</t>
  </si>
  <si>
    <t>Abyzov, S; Mitskevich, IN; Poglazova, MN; Barkov, NI; Lipenkov, VY; Bobin, NE; Kudryashov, BB; Pashkevich, VM</t>
  </si>
  <si>
    <t>Raulin, F; Kobayashi, K; Brack, A</t>
  </si>
  <si>
    <t>Antarctic ice sheet as an object for methodological problems of exobiology</t>
  </si>
  <si>
    <t>LIFE SCIENCES: EXOBIOLOGY</t>
  </si>
  <si>
    <t>F3 3/F3 5 Symposia of COSPAR Scientific Commission F on Life Science - Exobiology at the 32nd COSPAR Scientific Assembly</t>
  </si>
  <si>
    <t>Icy formations are often found in the cosmos: there are comet's nuclei, polar caps of Mars and of other planets and Europa, the Jupiter's satellite covered with icy crust. Various inclusions of mineral and organic compounds have been permanently accumulated in the ice thickness which protects them fi om subsequent environmental influence and ensures their reliable and long-term preservation. So icy bodies are unique objects for searching microorganisms and studying ancient ecological events that occurred during formation of icy layers. Complex microbiological and glaciological investigations at Vostok station carried out during a number of years resulted in the discovery of well-preserved cells of microorganisms of different taxonomic groups, as well as plant pollen and unicellular algae in the ice sheet horizons the age of which exceeds 300,000 years. Upon incubation of some samples with radiocarbon labeled organics an evidence of the preservation of some viable microorganisms has been provided. The investigation of ice bodies in an attempt to find any possible form of microscopical life has an advantage over analogous studies of other cosmic solids because the cells of microorganisms and other inclusions can be released from the melted ice without destruction and can be studied unambiguously by different methods of microscopy. (C) 1999 COSPAR. Published by Elsevier Science Ltd.</t>
  </si>
  <si>
    <t>Russian Acad Sci, Inst Microbiol, Moscow 117811, Russia; Arctic &amp; Antarctic Res Inst, St Petersburg 199226, Russia; St Petersburg Min Inst, St Petersburg 199026, Russia</t>
  </si>
  <si>
    <t>Russian Academy of Sciences; Research Center of Biotechnology RAS; Arctic &amp; Antarctic Research Institute; Saint Petersburg Mining University</t>
  </si>
  <si>
    <t>Abyzov, S (corresponding author), Russian Acad Sci, Inst Microbiol, Moscow 117811, Russia.</t>
  </si>
  <si>
    <t>Lipenkov, Vladimir/Q-8262-2016</t>
  </si>
  <si>
    <t>Lipenkov, Vladimir/0000-0003-4221-5440</t>
  </si>
  <si>
    <t>10.1016/S0273-1177(99)00058-7</t>
  </si>
  <si>
    <t>BN11U</t>
  </si>
  <si>
    <t>WOS:000080760700013</t>
  </si>
  <si>
    <t>Hoppema, M; Goeyens, L</t>
  </si>
  <si>
    <t>Redfield behavior of carbon, nitrogen, and phosphorus depletions in Antarctic surface water</t>
  </si>
  <si>
    <t>LIMNOLOGY AND OCEANOGRAPHY</t>
  </si>
  <si>
    <t>WEDDELL SEA; ISOPYCNAL SURFACES; ORGANIC-CARBON; SOUTHERN-OCEAN; INDIAN SECTOR; SARGASSO SEA; RATIOS; REMINERALIZATION; FLUX; PHYTOPLANKTON</t>
  </si>
  <si>
    <t>Inspired by the recent debate about anomalous nutrient utilization ratios in the surface oceans, we calculated depletions of total carbon dioxide, nitrate, and phosphate for the surface layer of the western Weddell Sea in summer. The depletion ratios, which incorporate all changes over a period of about 3 months starting from the onset of the vegetative season, essentially follow the classical Redfield model. We argue that reliable Redfield ratios can only be obtained when the time interval over which the nutrient utilization ratios are determined is comparable to the length of the vegetative season. Nutrient depletions are perfectly suitable to obtain reliable nutrient consumption ratios. We have good reason to believe that in the surface waters of the Antarctic, as they are nun-lent replete, the nutrient consumption ratios comply with the classical Redfield values.</t>
  </si>
  <si>
    <t>Alfred Wegener Inst Polar &amp; Marine Res, D-27570 Bremerhaven, Germany; Analyt Chem Lab, B-1050 Brussels, Belgium</t>
  </si>
  <si>
    <t>Univ Bremen, IUP, Dept Tracer Oceanog, POB 330, D-28334 Bremen, Germany.</t>
  </si>
  <si>
    <t>Hoppema, Mario/I-6286-2013</t>
  </si>
  <si>
    <t>Hoppema, Mario/0000-0002-2326-619X</t>
  </si>
  <si>
    <t>0024-3590</t>
  </si>
  <si>
    <t>1939-5590</t>
  </si>
  <si>
    <t>LIMNOL OCEANOGR</t>
  </si>
  <si>
    <t>Limnol. Oceanogr.</t>
  </si>
  <si>
    <t>10.4319/lo.1999.44.1.0220</t>
  </si>
  <si>
    <t>Limnology; Oceanography</t>
  </si>
  <si>
    <t>162ZT</t>
  </si>
  <si>
    <t>WOS:000078378300020</t>
  </si>
  <si>
    <t>Mühlebach, A; Albers, C; Kattner, G</t>
  </si>
  <si>
    <t>Differences in the sterol composition of dominant Antarctic zooplankton</t>
  </si>
  <si>
    <t>LIPIDS</t>
  </si>
  <si>
    <t>CALANUS-PROPINQUUS; CALANOIDES-ACUTUS; EUPHAUSIA-SUPERBA; SOUTHERN-OCEAN; WAX ESTERS; FATTY-ACID; FOOD WEB; COPEPODS; SEA; LIPIDS</t>
  </si>
  <si>
    <t>The composition of free sterols was determined in Antarctic zooplankton species with various feeding behaviors. In the Southern Ocean, the dominant calanoid copepods Calanoides acutus, Calanus propinquus, Metridia gerlachei, and Euchaeta antarctica were investigated during different seasons and compared with the euphausiids Euphausia superba, E. crystallorophias, and Thysanoessa macrura. In addition, the Arctic copepods Calanus hyperboreus, C. glacialis, and C. finmarchicus were studied for comparison. Analyses were performed using gas chromatography and mass spectrometry. The zoo; plankton species exhibited a simple sterol content of up to six sterols. In the copepods, cholest-5-en-3 beta-ol (22.1 to 60.5%, range of sample means), cholesta-5,24-dien-3 beta-ol (22.3 to 45.2%), and cholesta-5,22 E-dien-3 beta-ol (4.3 to 33.4%) contributed most, while in euphausiids the sterol composition was less complex with cholest-5-en-3 beta-ol always accounting for more than 75% of the total. Although sterols are membrane constituents and are expected not to vary considerably, differences in the abundance of sterols were observed between the species and the seasons. In herbivorous copepods, cholesta-5,24-dien-3 beta-ol increased by a factor of 1.5 to about 45% during the main feeding period in summer; this sterol is a metabolic precursor of cholest-5-en-3 beta-ol in the process of the dealkylation of dietary C-24 alkylated phytosterols. Cholest-5-en-3 beta-ol decreased by the same proportion. Omnivorous and carnivorous copepods showed average levels of cholesta-5,24-dien-3 beta-ol below 25%. These changes in sterol composition between copepod species seem to reflect their different feeding modes.</t>
  </si>
  <si>
    <t>Alfred Wegener Inst Polar &amp; Marine Res, D-27570 Bremerhaven, Germany</t>
  </si>
  <si>
    <t>Kattner, G (corresponding author), Alfred Wegener Inst Polar &amp; Marine Res, Handelshafen 12, D-27570 Bremerhaven, Germany.</t>
  </si>
  <si>
    <t>gkattner@awi-bremerhaven.de</t>
  </si>
  <si>
    <t>AMER OIL CHEMISTS SOC A O C S PRESS</t>
  </si>
  <si>
    <t>CHAMPAIGN</t>
  </si>
  <si>
    <t>1608 BROADMOOR DRIVE, CHAMPAIGN, IL 61821-0489 USA</t>
  </si>
  <si>
    <t>0024-4201</t>
  </si>
  <si>
    <t>Lipids</t>
  </si>
  <si>
    <t>10.1007/s11745-999-336-1</t>
  </si>
  <si>
    <t>Biochemistry &amp; Molecular Biology; Nutrition &amp; Dietetics</t>
  </si>
  <si>
    <t>167LR</t>
  </si>
  <si>
    <t>WOS:000078635200007</t>
  </si>
  <si>
    <t>Burton, MG; Storey, JWV; Ashley, MCB</t>
  </si>
  <si>
    <t>Morganti, R; Couch, WJ</t>
  </si>
  <si>
    <t>Looking deep from the South Pole: Star formation in the thermal infrared</t>
  </si>
  <si>
    <t>LOOKING DEEP IN THE SOUTHERN SKY</t>
  </si>
  <si>
    <t>ESO ASTROPHYSICS SYMPOSIA</t>
  </si>
  <si>
    <t>ESO/Australia Workshop on Looking Deep in the Southern Sky</t>
  </si>
  <si>
    <t>DEC 10-12, 1997</t>
  </si>
  <si>
    <t>STATE LIB NEW S WALES, SYDNEY, AUSTRALIA</t>
  </si>
  <si>
    <t>STATE LIB NEW S WALES</t>
  </si>
  <si>
    <t>SKY BRIGHTNESS</t>
  </si>
  <si>
    <t>The Antarctic Plateau provides the pre-eminent conditions on the Earth for wide-field imaging at thermal infrared wavelengths. We describe a project to equip the 60 cm SPIREX telescope at the South Pole with a large format (1024 x 1024) IR array camera (Abu) to demonstrate this potential. With it we aim to survey the Large Magellanic Cloud for sites of massive star formation at 3.5 mu m at the 1.4  diffraction limit of the telescope. We also discuss the potential for studying extra-galactic star formation through a deep survey of the Hubble Deep Field-South in this band. We compare the sensitivity of such surveys from Antarctica with those from mid-latitude sites, and propose a 2 m-class telescope, SPIRIT, which would be able to achieve unique new science at low cost compared to the new generation of 8 m-class telescopes now under construction.</t>
  </si>
  <si>
    <t>Univ New S Wales, Sch Phys, Joint Australian Ctr Astrophys Res Antarctica, Sydney, NSW 2052, Australia</t>
  </si>
  <si>
    <t>University of New South Wales Sydney</t>
  </si>
  <si>
    <t>Burton, MG (corresponding author), Univ New S Wales, Sch Phys, Joint Australian Ctr Astrophys Res Antarctica, Sydney, NSW 2052, Australia.</t>
  </si>
  <si>
    <t>Burton, Michael/0000-0001-7289-1998</t>
  </si>
  <si>
    <t>3-540-65286-8</t>
  </si>
  <si>
    <t>ESO ASTROPHY SYMP</t>
  </si>
  <si>
    <t>BP54Y</t>
  </si>
  <si>
    <t>WOS:000085467500037</t>
  </si>
  <si>
    <t>Jeffrey, SW; Wright, SW; Zapata, M</t>
  </si>
  <si>
    <t>Recent advances in HPLC pigment analysis of phytoplankton</t>
  </si>
  <si>
    <t>MARINE AND FRESHWATER RESEARCH</t>
  </si>
  <si>
    <t>PERFORMANCE LIQUID-CHROMATOGRAPHY; EMILIANIA-HUXLEYI PRYMNESIOPHYCEAE; DIVINYL CHLOROPHYLL-A; POLYMERIC OCTADECYLSILICA COLUMN; WESTERN EQUATORIAL PACIFIC; RECENT MARINE-SEDIMENTS; ABSORPTION-SPECTRA; NORTH-ATLANTIC; SOUTHERN-OCEAN; EUPHOTIC ZONE</t>
  </si>
  <si>
    <t>Analysis of phytoplankton pigments is central to studies of marine ecology and climate research. This paper summarizes milestones in the development of methods of pigment analysis, and shows the use of HPLC technology in their verification. New advances in HPLC methods are discussed, with key developments being the use of polymeric C-18 and monomeric C-8 columns and pyridine as solvent modifier. These have allowed the resolution of divinyl chlorophylls a and b, and the discovery of new chlorophyll c pigments (both polar and non-polar) and new 4-keto fucoxanthin derivatives. The taxonomic value of pigments and pigment suites is examined. Methods of interpreting the percentage of algal types from field measurements of pigment ratios through the use of computer algorithms are discussed. Finally, prospects for future development are suggested.</t>
  </si>
  <si>
    <t>CSIRO Marine Res, Hobart, Tas 7001, Australia; Australian Antarctic Div, Kingston, Tas 7050, Australia; Conselleria de Pesca, Ctr Invest Marinas, Vilanova De Arousa 36260, Spain</t>
  </si>
  <si>
    <t>Commonwealth Scientific &amp; Industrial Research Organisation (CSIRO); Australian Antarctic Division</t>
  </si>
  <si>
    <t>CSIRO Marine Res, GPO Box 1538, Hobart, Tas 7001, Australia.</t>
  </si>
  <si>
    <t>s.w.jeffrey@marine.csiro.au</t>
  </si>
  <si>
    <t>1323-1650</t>
  </si>
  <si>
    <t>1448-6059</t>
  </si>
  <si>
    <t>MAR FRESHWATER RES</t>
  </si>
  <si>
    <t>Mar. Freshw. Res.</t>
  </si>
  <si>
    <t>SI</t>
  </si>
  <si>
    <t>10.1071/MF99109</t>
  </si>
  <si>
    <t>Fisheries; Limnology; Marine &amp; Freshwater Biology; Oceanography</t>
  </si>
  <si>
    <t>258PZ</t>
  </si>
  <si>
    <t>WOS:000083848700014</t>
  </si>
  <si>
    <t>Greely, TM; Gartner, JV; Torres, JJ</t>
  </si>
  <si>
    <t>Age and growth of Electrona antarctica (Pisces: Myctophidae), the dominant mesopelagic fish of the Southern Ocean</t>
  </si>
  <si>
    <t>MARINE BIOLOGY</t>
  </si>
  <si>
    <t>MARGINAL ICE-ZONE; EASTERN GULF; PROXIMATE COMPOSITION; VERTICAL-DISTRIBUTION; LANTERNFISHES PISCES; COMMUNITY STRUCTURE; LIFE HISTORIES; OPEN WATERS; FOOD WEB; OTOLITHS</t>
  </si>
  <si>
    <t>Numerically and in biomass, the lanternfish Electrona antarctica is the dominant fish in the vast pelagic region of the Southern Ocean bounded on the north by the Antarctic Convergence and in the south by the Antarctic continental shelf. It is an important krill predator, and in turn is important in the diets of flighted and swimming seabirds. Further, it is the southernmost and coldest-dwelling representative of the globally distributed fish family Myctophidae. The present study was undertaken to estimate the species' growth rate and average life span, to incorporate the information in a basic energy budget, and to compare the growth of E. antarctica with more northerly confamilials. Fishes were aged using primary growth increments that were resolved on sagittal otoliths using three sequential techniques: thin-section grinding and polishing, etching, and scanning electron microscopy (SEM). Based on. increment width (0.8 to 1.2 mu m), continuity, and previous studies on confamilials, the microincrements were assumed to be deposited on a daily basis. Montages of SEM photomicrographs were constructed for each sagitta to allow the daily rings to be counted over the entire life span of 31 individuals representing the entire size range of the species. Results suggest a larval stage of 30 to 47 d and a maximum life span of 3.5 yr, with females growing faster than males in the last 1.5 yr of life and reaching a larger maximum size. Construction of a simple energy budget using the best information available suggests that a surplus of energy is available to support the observed growth rates (0.05 to 0.07 mm d(-1)). The results of the present study contrast markedly with previous estimates of an 8 to 11 yr maximum age for E. antarctica. These results provide important data addressing the ecology and population dynamics of the pelagic Antarctic ecosystem. E. antarctica is the end-member species in the continuum of vertically migrating myctophids that extend from the equator to the polar circle. Its growth rate is consonant with that of all other myctophid species examined using primary growth increments to determine age. The present study, in conjunction with earlier studies, suggests that growth rates of mesopelagic species are far higher than previously thought.</t>
  </si>
  <si>
    <t>Univ S Florida, Dept Marine Sci, St Petersburg, FL 33701 USA; St Petersburg Jr Coll, Dept Nat Sci, St Petersburg, FL 33710 USA</t>
  </si>
  <si>
    <t>State University System of Florida; University of South Florida</t>
  </si>
  <si>
    <t>Greely, TM (corresponding author), Univ S Florida, Dept Marine Sci, 140 7Th Ave S, St Petersburg, FL 33701 USA.</t>
  </si>
  <si>
    <t>0025-3162</t>
  </si>
  <si>
    <t>MAR BIOL</t>
  </si>
  <si>
    <t>Mar. Biol.</t>
  </si>
  <si>
    <t>10.1007/s002270050453</t>
  </si>
  <si>
    <t>167LK</t>
  </si>
  <si>
    <t>WOS:000078634000018</t>
  </si>
  <si>
    <t>Bracher, AU; Kroon, BMA; Lucas, MI</t>
  </si>
  <si>
    <t>Primary production, physiological state and composition of phytoplankton in the Atlantic Sector of the Southern Ocean</t>
  </si>
  <si>
    <t>MARINE ECOLOGY PROGRESS SERIES</t>
  </si>
  <si>
    <t>Southern Ocean; phytoplankton; photosynthesis; photoacclimation; pigment composition</t>
  </si>
  <si>
    <t>ANTARCTIC PHYTOPLANKTON; MARINE-PHYTOPLANKTON; ICE-EDGE; QUANTUM YIELD; ROSS SEA; TEMPORAL VARIABILITY; SPECTRAL ABSORPTION; BRANSFIELD STRAIT; STANDING CROP; SARGASSO SEA</t>
  </si>
  <si>
    <t>Phytoplankton species composition and primary production were studied in the Atlantic Sector of the Southern Ocean in early austral summer 1995/1996. Results from photosynthesis-irradiance experiments (P vs E curves) were used to examine photosynthetic adaptation in this part of the ocean. The study area comprised 3 different provinces: the Antarctic Polar Front (APF), the Antarctic Circumpolar Current (ACC) beyond the influence of frontal systems, and the marginal ice zone (MIZ). Phytoplankton composition derived from HPLC data, P-m* (maximum biomass-specific photosynthetic production rate) values and areal daily primary production (ADP) rates showed different features for these zones. The central core of the APF was dominated (60 %) by a bloom of large (&gt;20 mu m) diatoms (Thalassiothrix spp., Pseudonitzschia cf. lineola and Chaetoceros spp.), equal values for P-m* at the surface and 1% light depths and ADP rates exceeding 900 mg C m(-2) d(-1). At the fringes of the APF core, phytoplankton were smaller, diatom abundance decreased and dinoflagellates, prymnesiophytes and chrysophytes became more important within the community. Chlorophyll a concentrations and ADP rates were low and comparable to values for the ACC outside the front: &lt;0.5 mg m(-3) and &lt;300 mg C m(-2) d(-1) respectively. Beyond the frontal systems, P-m* values from the 1% light depth were significantly higher than at the surface. There was also a bloom of large phytoplankton species within the MIZ, dominated in contrast by Phaeocystis spp.; this province was characterised by ADP rates of 558 mg C m(-2) d(-1). Vertical mixing processes, temperature, silicate concentrations and zooplankton grazing seem to be the factors controlling production and growth of phytoplankton at this time.</t>
  </si>
  <si>
    <t>Alfred Wegener Inst Polar &amp; Marine Res, D-27515 Bremerhaven, Germany; Univ Cape Town, Dept Zool, ZA-7700 Rondebosch, South Africa; Southampton Oceanog Ctr, George Deacon Div, Southampton SO14 3ZH, Hants, England</t>
  </si>
  <si>
    <t>Helmholtz Association; Alfred Wegener Institute, Helmholtz Centre for Polar &amp; Marine Research; University of Cape Town; NERC National Oceanography Centre; University of Southampton</t>
  </si>
  <si>
    <t>Alfred Wegener Inst Polar &amp; Marine Res, Postfach 1202161, D-27515 Bremerhaven, Germany.</t>
  </si>
  <si>
    <t>abracher@awi-bremerhaven.de</t>
  </si>
  <si>
    <t>Bracher, Astrid/I-2672-2013; Bracher, Astrid/B-7805-2013</t>
  </si>
  <si>
    <t>Bracher, Astrid/0000-0003-3025-5517;</t>
  </si>
  <si>
    <t>INTER-RESEARCH</t>
  </si>
  <si>
    <t>OLDENDORF LUHE</t>
  </si>
  <si>
    <t>NORDBUNTE 23, D-21385 OLDENDORF LUHE, GERMANY</t>
  </si>
  <si>
    <t>0171-8630</t>
  </si>
  <si>
    <t>1616-1599</t>
  </si>
  <si>
    <t>MAR ECOL PROG SER</t>
  </si>
  <si>
    <t>Mar. Ecol.-Prog. Ser.</t>
  </si>
  <si>
    <t>10.3354/meps190001</t>
  </si>
  <si>
    <t>Ecology; Marine &amp; Freshwater Biology; Oceanography</t>
  </si>
  <si>
    <t>Environmental Sciences &amp; Ecology; Marine &amp; Freshwater Biology; Oceanography</t>
  </si>
  <si>
    <t>270TU</t>
  </si>
  <si>
    <t>WOS:000084553000001</t>
  </si>
  <si>
    <t>Cailliau, C; Belviso, S; Goutx, M; Bedo, A; Park, Y; Charriaud, E</t>
  </si>
  <si>
    <t>Sedimentation pathways in the Indian sector of the Southern Ocean during a production regime dominated by regeneration</t>
  </si>
  <si>
    <t>antarctic; austral ocean; sediment traps; diel cycles; phytoplankton; pigments; lipids; DMSP; DMS</t>
  </si>
  <si>
    <t>SIZE-FRACTIONATED PHYTOPLANKTON; LIPID CLASSES; MARINE SNOW; WAX ESTERS; SPECIES COMPOSITION; 4-METHYL STEROLS; AUSTRAL SUMMER; NORTH-ATLANTIC; ORGANIC-MATTER; VERTICAL FLUX</t>
  </si>
  <si>
    <t>During summer 1994, the production regime at 2 sites located in the Indian sector of the Southern Ocean, one in the Permanent Open Ocean Zone (POOZ) at 52 degrees S, and a second in the Seasonal Ice Zone (SIZ) at 63 degrees S, was dominated by regeneration (0.3 &lt; f-ratio &lt; 0.4). Two time series, each of about 4 d, were performed over pre-determined time intervals of 4 h using a free-floating sediment trap set at 200 m at the 2 sites. Hourly variations of C, N, chlorophyll a (chl a) and its degradation products, taxon-specific pigments, lipid classes and dimethylsulfoniopropionate (DMSP) were measured simultaneously. Measurements in the water column were done during the sediment trap drifting. Fucoxanthin, a typical diatom pigment, was the major accessory pigment found in the trap material at the 2 stations, whereas, in the water column, the phytoplankton was dominated by flagellates in the POOZ and diatoms in the SIZ. This suggests selective grazing of diatoms by zooplankton and/or mass sinking of diatoms, at least in the POOZ. However, since the set of compounds exhibited strong diel cycles in the POOZ, the export flux appears to mainly result from the zooplankton. The results are ambiguous as to whether the intensified sedimentation at night resulted from vertical migration of euphausiids, since copepods crossing the pycnocline were rare, and/or the nocturnal increase of feeding activity of copepods and microzooplankton. At the SIZ, diatoms dominated in the mixed layer and at the deep phytoplankton maximum (DPM) located at the depth of the temperature minimum (50 to 100 m). However, pigment signature in the trap material suggested the selective sedimentation of nanoflagellates (essentially pelagophytes). Correspondingly, there was high proportions of sterols up to 40% in the trap material. The diel variations somewhat resembling POOZs, the low chi a-to-phaeopigments ratio and the presence of phaeopigments in their most degraded forms were strong indications of the key role played by zooplankton in the export fluxes in the SIZ. Hence, the selective feeding of phytoplankton by zooplankton strongly influenced the sedimentation pathways in the Indian Sector of the Southern Ocean. Additionally, DMSP, which is produced by phytoplankton in superficial waters, is shown to be as labile as chi a when processed by grazers.</t>
  </si>
  <si>
    <t>UPMC, CNRS, INSU, LPCM, F-06230 Villefranche Sur Mer, France; CNRS, UMR CEA, LSCE, F-91198 Gif Sur Yvette, France; CNRS, EP 2032, LMM, F-13288 Marseille 9, France; LOBE, Stn Zool, F-06230 Villefranche Sur Mer, France; LOP, F-75005 Paris, France</t>
  </si>
  <si>
    <t>Sorbonne Universite; Centre National de la Recherche Scientifique (CNRS); CNRS - National Institute for Earth Sciences &amp; Astronomy (INSU); Universite Paris Saclay; CEA; Centre National de la Recherche Scientifique (CNRS); Centre National de la Recherche Scientifique (CNRS); Sorbonne Universite</t>
  </si>
  <si>
    <t>Cailliau, C (corresponding author), UPMC, CNRS, INSU, LPCM, BP 08, F-06230 Villefranche Sur Mer, France.</t>
  </si>
  <si>
    <t>belviso@psce.saclay.cea.fr</t>
  </si>
  <si>
    <t>10.3354/meps190053</t>
  </si>
  <si>
    <t>WOS:000084553000005</t>
  </si>
  <si>
    <t>Tarling, GA; Cuzin-Roudy, J; Buchholz, F</t>
  </si>
  <si>
    <t>Vertical migration behaviour in the northern krill Meganyctiphanes norvegica is influenced by moult and reproductive processes</t>
  </si>
  <si>
    <t>Northern krill; euphausiids; swarming; diel vertical migration; spawning; moulting; sexual behaviour</t>
  </si>
  <si>
    <t>EUPHAUSIA-SUPERBA; ANTARCTIC KRILL; MOLT CYCLE; SAMPLING ZOOPLANKTON; POPULATION; KATTEGAT; GROWTH; SWARMS; CRUSTACEA; ATLANTIC</t>
  </si>
  <si>
    <t>A population of the northern krill Meganyctiphanes norvegica was sampled between 24 July and 3 August 1998 in the Alkor Deep, Kattegat, in order to investigate the influence of sexual and developmental factors on the vertical distribution of adult krill. Depth-discrete samples of krill were taken with a 1 m(2) MOCNESS net at the cardinal times of day (midnight, midday, sunrise and sunset). Specimens were immediately measured and categorised for moulting and spawning status. Further samples were preserved for detailed analysis in the home laboratory. Results showed that the population concentrated in the deep (80 to 100 m) during day-time but segregated vertically during nighttime. Moulting occurred in the deep during night-time, away from the main part of the non-moulting population, which was located between 80 and 50 m. Spawning females were most evident in the up permost depth interval (30 to 5 m). Moulting at night in the deepest layers may be viewed as a mechanism to avoid cannibalism whilst in a vulnerable condition. Spawning in the warm upper layers accelerates reproductive processes and may also reduce the depth to which the eggs sink before hatching into nauplii.</t>
  </si>
  <si>
    <t>Scottish Assoc Marine Sci, Oban PA34 4AD, Argyll, Scotland; UPMC, Observ Oceanol, CNRS, INSU,LOBEPM,Oceanog Biochim &amp; Ecol, F-06230 Villefranche Sur Mer, France; Stiftung AWI, Biol Anstalt Helgoland, Meeresstn, D-27483 Helgoland, Germany</t>
  </si>
  <si>
    <t>UHI Millennium Institute; Centre National de la Recherche Scientifique (CNRS); CNRS - National Institute for Earth Sciences &amp; Astronomy (INSU); Sorbonne Universite; Helmholtz Association; Alfred Wegener Institute, Helmholtz Centre for Polar &amp; Marine Research</t>
  </si>
  <si>
    <t>Tarling, GA (corresponding author), Scottish Assoc Marine Sci, POB 3, Oban PA34 4AD, Argyll, Scotland.</t>
  </si>
  <si>
    <t>gant@dml.ac.uk</t>
  </si>
  <si>
    <t>10.3354/meps190253</t>
  </si>
  <si>
    <t>WOS:000084553000019</t>
  </si>
  <si>
    <t>Jeffrey, SW; MacTavish, HS; Dunlap, WC; Vesk, M; Groenewoud, K</t>
  </si>
  <si>
    <t>Occurrence of UVA- and UVB-absorbing compounds in 152 species (206 strains) of marine microalgae</t>
  </si>
  <si>
    <t>ultraviolet radiation; microalgae; dinoflagellates; cryptomonads; prymnesiophytes; raphidophytes; mycosporine-like amino acids; bloom-forming species; Gymnodinium catenatum</t>
  </si>
  <si>
    <t>ULTRAVIOLET-B RADIATION; URCHIN STRONGYLOCENTROTUS-DROEBACHIENSIS; AMINO-ACID COMPOUNDS; GREAT-BARRIER-REEF; OZONE DEPLETION; ANTARCTIC PHYTOPLANKTON; NATURAL PHYTOPLANKTON; PROROCENTRUM-MICANS; SPECTRAL PROPERTIES; OXIDATIVE STRESS</t>
  </si>
  <si>
    <t>Marine microalgae (152 species, 206 strains) from 12 classes were examined for the presence of UVA- and UVB-absorbing compounds. Cultures were grown under white fluorescent light without supplementary UVA or UVB radiation and were extracted after harvest in tetrahydrofuran:methanol (20:80, v/v). Ratios of UV absorbance (280 to 390 nm) to chlorophyll a (chl a) (665 nm) obtained by spectrophotometry ranged from 0.18 to 6.75. Three groups of species were distinguished: those with low UV:chl a ratios (0.18 to 0.9, diatoms, green algae, cyanophytes, euglenophytes, eustigmatophytes, rhodophytes, some dinoflagellates, some prymnesiophytes), those with intermediate ratios (0.9 to 1.4, chrysophytes, some prasinophytes, some prymnesiophytes) and those with very high ratios (1.4 to 6.75, surface bloom-forming dinoflagellates, cryptomonads, prymnesiophytes and raphidophytes). UV-absorbing pigments varied across species of the same algal class and strains of the same species. HPLC analysis of extracts of 5 species (1 diatom, 2 bloom-forming raphidophytes and 2 bloom-forming dinoflagellates) showed suites of mycosporine-like amino acids in 4 of them, which included mycosporine-glycine, asterina-330, shinorine, porphyra-334 and palythine. The dinoflagellate Gymnodinium catenatum also contained major quantities of unknown UV-absorbing compounds.</t>
  </si>
  <si>
    <t>Univ Tasmania, Div Marine Res, Hobart, Tas 7001, Australia; Univ Sydney, Electron Microscope Unit, Sydney, NSW 2006, Australia; Univ Tasmania, Dept Agr Sci, Hobart, Tas 7001, Australia; Australian Inst Marine Sci, Townsville, Qld 4810, Australia</t>
  </si>
  <si>
    <t>University of Tasmania; University of Sydney; University of Tasmania; Australian Institute of Marine Science</t>
  </si>
  <si>
    <t>Jeffrey, SW (corresponding author), Univ Tasmania, Div Marine Res, GPO Box 1538, Hobart, Tas 7001, Australia.</t>
  </si>
  <si>
    <t>s.w.jeffrey@martine.csiro.au</t>
  </si>
  <si>
    <t>10.3354/meps189035</t>
  </si>
  <si>
    <t>267QK</t>
  </si>
  <si>
    <t>WOS:000084370600005</t>
  </si>
  <si>
    <t>Nozais, C; Desrosiers, G; Gosselin, M; Belzile, C; Demers, S</t>
  </si>
  <si>
    <t>Effects of ambient UVB radiation in a meiobenthic community of a tidal mudflat</t>
  </si>
  <si>
    <t>ultraviolet radiation; intertidal mudflat; harpacticoid copepods; nematodes; microphytobenthos; microcosms</t>
  </si>
  <si>
    <t>ULTRAVIOLET-B RADIATION; ANTARCTIC MARINE ORGANISMS; ST-LAWRENCE ESTUARY; OZONE DEPLETION; GRAZING RATES; AMINO-ACIDS; DIATOM; PHOTOSYNTHESIS; POPULATION; MEIOFAUNA</t>
  </si>
  <si>
    <t>Most studies involving UVB radiation effects in the marine environment have focused mainly on planktonic communities. Despite the importance of shallow-water sediments as nursery and feeding areas for various taxa, investigations of the impact of UVB radiation on meiobenthic communities are still scarce. A microcosm experiment was conducted over a 42 d period with a microbenthic community in a tidal mudflat of the Lower St. Lawrence Estuary, Canada, in order to assess the influence of ambient UVB radiation on the abundance of ontogenic stages of harpacticoid copepods, on nematodes, and on chlorophyll a and pheopigment concentrations. The microbenthic community within non-perturbed sediment cores was exposed to 2 different light regimes: natural irradiance (natural UVB) and reduced UVB. Sampling of the sediment cores was carried out on a weekly basis. There was a significant decrease in chlorophyll a concentrations in reduced UVB microcosms on Days 7 and 14, and no significant difference thereafter. A negative impact of UVB was observed upon meiobenthic copepod nauplii and copepodites. Adult harpacticoid copepods were significantly less abundant in the reduced UVB treatment on Day 7. There was no significant difference in the abundance of adult harpacticoid copepods between treatments at subsequent sampling dates and no effect on nematode abundance for the whole experiment. Our results suggest that natural UVB radiation may have a deleterious effect on the naupliar stages of harpacticoid copepods, a key group of the meiobenthic compartment. Thus, a change in UVB radiation may greatly influence the dynamics of intertidal populations of copepods by affecting their recruitment. Since meiofauna plays a key role in energy fluxes throughout the benthic food web, structural changes of harpacticoid populations induced by UVB radiation may significantly reduce nutrient transport at the water-sediment interface and the availability of food in the upper trophic levels.</t>
  </si>
  <si>
    <t>Univ Quebec, Inst Sci Mer, Grp Rech Environm Cotier, Rimouski, PQ G5L 3A1, Canada</t>
  </si>
  <si>
    <t>University of Quebec</t>
  </si>
  <si>
    <t>Nozais, C (corresponding author), Univ KwaZulu Natal, Marine Sci Unit, Private Bag X54001, ZA-4000 Durban, South Africa.</t>
  </si>
  <si>
    <t>nozais@pixie.ndw.ac.za</t>
  </si>
  <si>
    <t>Gosselin, Michel/B-4477-2014</t>
  </si>
  <si>
    <t>Gosselin, Michel/0000-0002-1044-0793; Belzile, Claude/0000-0003-3908-7433</t>
  </si>
  <si>
    <t>10.3354/meps189149</t>
  </si>
  <si>
    <t>WOS:000084370600014</t>
  </si>
  <si>
    <t>Cherel, Y; Weimerskirch, H</t>
  </si>
  <si>
    <t>Spawning cycle of onychoteuthid squids in the southern Indian Ocean: new information from seabird predators</t>
  </si>
  <si>
    <t>Kondakovia longimana; Moroteuthis ingens; Moroteuthis knipovitchi; wandering albatross; king penguin; trophic web; Antarctica</t>
  </si>
  <si>
    <t>MOROTEUTHIS-INGENS CEPHALOPODA; ANTARCTIC MARION ISLAND; PENGUIN APTENODYTES-PATAGONICUS; NEW-ZEALAND WATERS; KONDAKOVIA-LONGIMANA FILIPPOVA; ALBATROSS DIOMEDEA-EXULANS; EASTERN WEDDELL SEA; KING PENGUIN; CROZET-ISLANDS; WANDERING ALBATROSSES</t>
  </si>
  <si>
    <t>Cephalopods play an important role in the trophic web of the Southern Ocean, but little information is available on their biology. The 2 largest sub-Antarctic seabirds, the king penguin Aptenodytes patagonicus and the wandering albatross Diomedea exulans, feed primarily on squids during the austral winter at the Crozet Islands. We examined a large number of accumulated cephalopod beaks in the stomach of these birds together with some undigested items; first, to understand how these 2 predators share the squid resource during winter, a period of supposed low food availability, and, second, to use a diving and a flying seabird as biological samplers of Southern Ocean cephalopods. Individuals of the family Onychoteuthidae formed the bulk of the squid diet, accounting for 72.6 and 57.0% of the number of lower beaks in samples from king penguins and wandering albatrosses, respectively. Seven different species were identified, the 3 main squids being Kondakovia longimana (38.8 and 28.0% by number for penguins and albatrosses, respectively), Moroteuthis ingens (13.5 and 26.2 %) and M. knipovitchi (20.1 and 2.3 %). Both seabirds preyed upon the same cephalopod species, but penguins primarily took small- to medium-sized juveniles (99.0% of the onychoteuthids) and albatrosses preyed on larger adult specimens (96.0 %). Fresh remains indicated that adult K. longimana and M. ingens were mature individuals which, as shown by satellite tracking of albatrosses, were taken over the slope and nearby oceanic waters surrounding the archipelago. The present study indicates that mating/spawning of K. longimana and M. ingens occurs in Crozet waters during the winter months. It also extends the biogeography of K. longimana to north of the Antarctic Polar Front, in the Polar Frontal Zone, where it has not previously been recorded.</t>
  </si>
  <si>
    <t>Ctr Etud Biol Chize, CNRS, F-79360 Villiers En Bois, France</t>
  </si>
  <si>
    <t>Centre National de la Recherche Scientifique (CNRS)</t>
  </si>
  <si>
    <t>Cherel, Y (corresponding author), Ctr Etud Biol Chize, CNRS, UPR 1934, F-79360 Villiers En Bois, France.</t>
  </si>
  <si>
    <t>cherel@cebc.cnrs.fr</t>
  </si>
  <si>
    <t>Weimerskirch, Henri/F-5562-2013; Weimerskirch, Henri/K-7306-2019</t>
  </si>
  <si>
    <t>Weimerskirch, Henri/0000-0002-0457-586X</t>
  </si>
  <si>
    <t>10.3354/meps188093</t>
  </si>
  <si>
    <t>262UV</t>
  </si>
  <si>
    <t>Green Accepted, Bronze</t>
  </si>
  <si>
    <t>WOS:000084085700009</t>
  </si>
  <si>
    <t>Watkins, JL; Murray, AWA; Daly, HI</t>
  </si>
  <si>
    <t>Variation in the distribution of antarctic krill Euphausia superba around south Georgia</t>
  </si>
  <si>
    <t>Antarctic krill; Euphausia superba; South Georgia; population structure</t>
  </si>
  <si>
    <t>SEALS ARCTOCEPHALUS-GAZELLA; HYDROGRAPHY; VARIABILITY; ATLANTIC; CAUGHT; GROWTH; NETS</t>
  </si>
  <si>
    <t>There is considerable spatial structure within the South Georgia krill-based ecosystem in terms of predator demand, commercial fishery pressure and krill abundance. Here we investigate the hypothesis that there is also spatial structure in the krill population composition, finding differences in length-frequency histograms between the eastern and western ends of the island. Between 1981 and 1997 the British Antarctic Survey carried out 6 major cruises where krill were taken from both ends of South Georgia. Cluster analysis revealed that the length-frequency histograms could be grouped into 4 main types with relatively simple biological characteristics: Cluster 1 contained small krill (mean size 23.9 mm) up to 2 yr old (1+ yr class); Cluster 2 (mean size 31.1 mm) contained a mixture of 1+ with some 2+ and 3+ yr classes; Cluster 3 contained medium-sized krill (mean size 41.4 mm) probably 2+ and 3+ yr classes; Cluster 4 contained large krill (mean size 50.3 mm) likely to be 3+ or older. Principal components analysis (PCA) provided good separation of these clusters using the first 2 axes (80 % of the total variance). There were no obvious differences in the length composition of krill sampled from different water depths, although there were some indications that differences did occur between different water masses. Detailed inspection of the individual cruises revealed that the length-frequency histograms at the western end of the island contained more large krill than those from the eastern end of the island and also that when Weddell Sea water was found within a cruise then this contained the smallest krill. We consider that such differences may arise not only because krill may experience different conditions at each end of the island but also may originate from 2 separate sources which may have different population structures.</t>
  </si>
  <si>
    <t>Watkins, JL (corresponding author), British Antarctic Survey, NERC, High Cross,Madingley Rd, Cambridge CB3 0ET, England.</t>
  </si>
  <si>
    <t>j.watkins@bas.ac.uk</t>
  </si>
  <si>
    <t>10.3354/meps188149</t>
  </si>
  <si>
    <t>WOS:000084085700014</t>
  </si>
  <si>
    <t>Wanless, S; Finney, SK; Harris, MP; McCafferty, DJ</t>
  </si>
  <si>
    <t>Effect of the diel light cycle on the diving behaviour of two bottom feeding marine birds:: the blue-eyed shag Phalacrocorax atriceps and the European shag P-aristotelis</t>
  </si>
  <si>
    <t>Phalacrocoracidae; Phalacrocorax; dive depth; illumination; vision; foraging</t>
  </si>
  <si>
    <t>CARBO-SINENSIS; PENGUINS; PERFORMANCE; ENERGETICS; DEPTH; PREY</t>
  </si>
  <si>
    <t>Consistent diel patterns in foraging depths have been recorded in several avian predators which feed on pelagic prey, but nothing is known about such effects in bottom feeding seabirds. In the underwater environment, illumination is influenced primarily by water depth. Thus a predator's ability to exploit feeding areas located in deep water could, theoretically, be constrained by light availability. We investigated the effects of the diel light cycle on the diving behaviour of 2 species of bottom feeding seabird: the blue-eyed shag Phalacrocorax atriceps and the European shag P. aristotelis. Time-based data loggers were attached to 22 blue-eyed shags and 21 European shags and used to obtain detailed and concurrent records of foraging conditions in terms of depth and illumination during the chick-rearing period. Both species were exclusively diurnal feeders. There were marked differences in mean foraging depth and foraging illumination between individual birds (blue-eyed shag: ranges 3.2 to 73.3 m and -0.3 to 2.0 log(10) lx; European shag: 8.5 to 34.6 m and 0.9 to 2.0 log(10) lx). Superimposed on this variation was a consistent effect whereby individuals significantly modified their diving behaviour in response to the diel light cycle, in accord with the prediction that foraging depths would be maximised when ambient illumination was highest. However, it appeared that individuals did not fully exploit the potential of this diel effect since, although foraging depths in the middle of the day were generally deeper, the associated illumination was higher than that experienced during shallower dives made earlier or later in the day. Nevertheless, we believe that diel effects can play an important role in shaping the foraging behaviour of bottom feeding, avian predators.</t>
  </si>
  <si>
    <t>Inst Terr Ecol, Banchory AB31 4BY, Kincardine, Scotland; British Antarctic Survey, NERC, Cambridge CB3 0ET, England</t>
  </si>
  <si>
    <t>UK Centre for Ecology &amp; Hydrology (UKCEH); UK Research &amp; Innovation (UKRI); Natural Environment Research Council (NERC); NERC British Antarctic Survey</t>
  </si>
  <si>
    <t>Wanless, S (corresponding author), Inst Terr Ecol, Hill Brathens, Banchory AB31 4BY, Kincardine, Scotland.</t>
  </si>
  <si>
    <t>swanl@ite.ac.uk</t>
  </si>
  <si>
    <t>Wanless, Sarah/K-2338-2012</t>
  </si>
  <si>
    <t>Wanless, Sarah/0000-0002-2788-4606; McCafferty, Dominic/0000-0002-3079-3326</t>
  </si>
  <si>
    <t>10.3354/meps188219</t>
  </si>
  <si>
    <t>WOS:000084085700021</t>
  </si>
  <si>
    <t>Morán, XAG; Gasol, JM; Arin, L; Estrada, M</t>
  </si>
  <si>
    <t>A comparison between glass fiber and membrane filters for the estimation of phytoplankton POC and DOC production</t>
  </si>
  <si>
    <t>filter types; phytoplankton; POC and DOC production; chlorophyll; cell abundance</t>
  </si>
  <si>
    <t>DISSOLVED ORGANIC-MATTER; MARINE-PHYTOPLANKTON; DILUTION EXPERIMENTS; BUBBLING METHOD; C-14 METHOD; FILTRATION; GROWTH; BACTERIA; CARBON; ACIDIFICATION</t>
  </si>
  <si>
    <t>We tested the performance of 2 types of glass fiber filters (GF/F: 0.7 mu m; GF/C: 1.2 mu m) and 2 membrane filters (PC0.2: polycarbonate 0.2 mu m; CE0.22: mixed cellulose esters 0.22 mu m) in estimating chlorophyll a and primary production with the C-14 technique. Four experiments were carried out with water samples from the NW Mediterranean, the NE Atlantic and the Antarctic Ocean. The first experiment compared measurements of particulate organic carbon (POC) production whereas the other 3 also considered total (TOC) and dissolved (DOC) carbon fixation. No significant differences among filters were found regarding chlorophyll a retention but large discrepancies existed in the amount of labelled organic carbon retained in all the experiments. Both types of glass fiber filters, especially GF/F, yielded higher values of apparent pO(14)C recovery than the membrane filters. The GF/F-derived POC production rates were up to twice the PC0.2-derived rates and 63% higher than CE0.22-derived ones. Accordingly, the estimated rates of phytoplanktonic DOC production were higher with the membrane filters in comparison to the GF/F ones. This discrepancy was attributed to a high (DOC)-C-14 adsorption to the glass fibers of GF filters. Due to uncertainties in the magnitude of this process in other samples, we conclude that GF filters are not suitable when particulate primary production must be measured without interference of released dissolved products. and that membrane filters should be used instead.</t>
  </si>
  <si>
    <t>CSIC, Inst Ciencias Mar, Dept Biol Marina &amp; Oceanog, E-08039 Barcelona, Spain</t>
  </si>
  <si>
    <t>Consejo Superior de Investigaciones Cientificas (CSIC); CSIC - Centro Mediterraneo de Investigaciones Marinas y Ambientales (CMIMA); CSIC - Instituto de Ciencias del Mar (ICM)</t>
  </si>
  <si>
    <t>CSIC, Inst Ciencias Mar, Dept Biol Marina &amp; Oceanog, Pg Joan de Borbo S-N, E-08039 Barcelona, Spain.</t>
  </si>
  <si>
    <t>xelu@icm.csic.es</t>
  </si>
  <si>
    <t>Estrada, Marta/L-6207-2014; Moran, Xose Anxelu G./K-9647-2014; Gasol, Josep M/B-1709-2008</t>
  </si>
  <si>
    <t>Estrada, Marta/0000-0001-5769-9498; Moran, Xose Anxelu G./0000-0002-9823-5339; Gasol, Josep M/0000-0001-5238-2387</t>
  </si>
  <si>
    <t>10.3354/meps187031</t>
  </si>
  <si>
    <t>258GL</t>
  </si>
  <si>
    <t>WOS:000083830200003</t>
  </si>
  <si>
    <t>Mostajir, B; Sime-Ngando, T; Demers, S; Belzile, C; Roy, S; Gosselin, M; Chanut, JP; de Mora, S; Fauchot, J; Vidussi, F; Levasseur, M</t>
  </si>
  <si>
    <t>Ecological implications of changes in cell size and photosynthetic capacity of marine Prymnesiophyceae induced by ultraviolet-B radiation</t>
  </si>
  <si>
    <t>ultraviolet-B; Prymnesiophyceae; cell size; photosynthetic capacity; trophic interactions</t>
  </si>
  <si>
    <t>BIOLOGICAL WEIGHTING FUNCTION; ANTARCTIC PHYTOPLANKTON; OPTICAL-PROPERTIES; PHASED DIVISION; CILIATE; GROWTH; DIATOM; PICOPLANKTON; CONSUMPTION; INHIBITION</t>
  </si>
  <si>
    <t>A natural planktonic assemblage of organisms (&lt;240 mu m) was studied in mesocosm experiments for 7 d under varying conditions of ultraviolet-B radiation (WB: 280 to 320 nm): UVB excluded, natural radiation and WE enhanced at 2 different levels. Specifically. the changes in Prymnesiophyceae abundance and Light scatter properties attributed to cell size (CS) were investigated by flow cytometry during the first 72 h with 4 h temporal resolution and were thereafter examined during the 4 following days with twice daily sampling. In addition, the specific rate of photosynthesis (p(cell)) of phytoplankton &lt;5 mu m, ciliate abundance (predator 15 to 35 mu m) and dynamics of nutrients were monitored. Prymnesiophyceae ranged in size between 2.7 and 4 mu m and dominated the phytoplanktonic community &lt;5 mu m (more than 94%). Prymnesiophyceae exhibited marked diel variability with synchronized cell division: CS increased during the day and diminished at nighttime, indicating cell division. Shortterm UVB exposures during the first 3 d of the experiment did not affect CS, probably due to vertical water mixing in the mesocosms moderating harmful UVB exposure. In contrast, long-term UVB treatments (3 to 7 d) induced progressive CS increases in Prymnesiophyceae as a function of increasing UVB doses. The successive inhibition of p(cell) of phytoplankton &lt;5 mu m was also observed as a function of increasing WE doses. The results suggest that enhanced UVB provokes the retardation of cell division and inhibition of p(cell) which causes Prymnesiophyceae CS enlargement. CS enlargement and probably a change in the food quality of Prymnesiophyceae could result in food limitation for the ciliate population. although ciliates seem to be directly affected by WE enhancement. This study highlights the ecological implications of CS changes and photosynthetic capacity of phytoplankton, with respect to predator-prey interactions in response to WE enhancement.</t>
  </si>
  <si>
    <t>Univ Quebec, Inst Sci Mer Rimouski, Grp Rech Environm Cotter, Rimouski, PQ G5L 3A1, Canada; Univ Clermont Ferrand 2, UPRES A CNRS 6023, Lab Biol Comparee Protistes, F-63177 Clermont Ferrand, France; Minist Peches &amp; Oceans, Inst Maurice Lamontagne, Mt Joli, PQ G5H 3Z4, Canada</t>
  </si>
  <si>
    <t>University of Quebec; Centre National de la Recherche Scientifique (CNRS); Universite Clermont Auvergne (UCA); Fisheries &amp; Oceans Canada</t>
  </si>
  <si>
    <t>Mostajir, B (corresponding author), Univ Quebec, Inst Sci Mer Rimouski, Grp Rech Environm Cotter, 310 Allee Ursulines, Rimouski, PQ G5L 3A1, Canada.</t>
  </si>
  <si>
    <t>behzad_mostajir@uqar.uquebec.ca</t>
  </si>
  <si>
    <t>Vidussi, Francesca/H-2403-2011; Sime-Ngando, Télesphore/M-4134-2019; Vidussi, Francesca/KGM-2228-2024; Gosselin, Michel/B-4477-2014</t>
  </si>
  <si>
    <t>Sime-Ngando, Télesphore/0000-0002-7240-5803; Vidussi, Francesca/0000-0003-2007-9003; Gosselin, Michel/0000-0002-1044-0793; Belzile, Claude/0000-0003-3908-7433</t>
  </si>
  <si>
    <t>10.3354/meps187089</t>
  </si>
  <si>
    <t>WOS:000083830200008</t>
  </si>
  <si>
    <t>Adcock, GJ; Shaw, PW; Rodhouse, PG; Carvalho, GR</t>
  </si>
  <si>
    <t>Microsatellite analysis of genetic diversity in the squid Illex argentinus during a period of intensive fishing</t>
  </si>
  <si>
    <t>microsatellite; genetic diversity; Illex argentinus; squid; population genetics; fishing</t>
  </si>
  <si>
    <t>LOLIGO-FORBESI; GROWTH; DIFFERENTIATION; CEPHALOPOD; ATLANTIC; FISHES</t>
  </si>
  <si>
    <t>Levels of genetic diversity and population differentiation were examined in temporally (1990 to 1997) and geographically separated samples of the argentine short-finned squid Illex argentinus using 7 microsatellite loci. Number of alleles (mean number of alleles per locus over all samples = 24.1) and heterozygosity (mean observed heterozygosity per sample = 0.84) were high for all samples, indicating that these loci have a greater potential utility for investigating population genetic structure than allozyme markers used in previous studies. Genetic diversity did not differ significantly between samples taken 5 yr after commencement of the fishery (1990) and those collected during a period of progressively intense fishing pressure (1994 and 1997). Several small but significant differences in between-sample genetic variation (F-ST) were observed, but these could not confirm the previous suggestion of cryptic species or several well-defined stocks within the fished population.</t>
  </si>
  <si>
    <t>Univ Hull, Dept Biol Sci, Mol Ecol &amp; Fisheries Genet Lab, Kingston Upon Hull HU6 7RX, N Humberside, England; British Antarctic Survey, NERC, Cambridge CB3 0ET, England</t>
  </si>
  <si>
    <t>University of Hull; UK Research &amp; Innovation (UKRI); Natural Environment Research Council (NERC); NERC British Antarctic Survey</t>
  </si>
  <si>
    <t>Univ Hull, Dept Biol Sci, Mol Ecol &amp; Fisheries Genet Lab, Kingston Upon Hull HU6 7RX, N Humberside, England.</t>
  </si>
  <si>
    <t>g.j.adcock@biosci.hull.ac.uk</t>
  </si>
  <si>
    <t>10.3354/meps187171</t>
  </si>
  <si>
    <t>Bronze, Green Accepted</t>
  </si>
  <si>
    <t>WOS:000083830200015</t>
  </si>
  <si>
    <t>Brown, DJ; Boyd, IL; Cripps, GC; Butler, PJ</t>
  </si>
  <si>
    <t>Fatty acid signature analysis from the milk of Antarctic fur seals and Southern elephant seals from South Georgia: implications for diet determination</t>
  </si>
  <si>
    <t>fur seal; elephant seal; diet; foraging; Southern Ocean; milk; fatty acids; South Georgia</t>
  </si>
  <si>
    <t>ARCTOCEPHALUS-GAZELLA PETERS; MIROUNGA-LEONINA L; DIVING BEHAVIOR; BIRD-ISLAND; BREEDING-SEASON; ALOPEX-LAGOPUS; WEDDELL SEALS; HEARD ISLAND; HARBOR SEALS; LACTATION</t>
  </si>
  <si>
    <t>Fatty acid signature analysis (FASA) makes use of specific fatty acids, as well as entire profiles, to study dietary relationships at different trophic levels. Previously, FASA has been used in marine ecosystems in which diet determination by more direct methods is difficult and sometimes misleading. This study examined fatty acid profiles in milk from 2 species of pinniped from the Southern Ocean that were expected to have highly contrasting diets. Milk samples were collected from Antarctic fur seals Arctocephalus gazella in 3 consecutive years, from 1991 to 1993 (n = 72), and from Southern elephant seals Mirounga leonina in 1988 (n = 53) at South Georgia. Lipids were extracted and fatty acid profiles determined by temperature-programmed gas chromatography. Possible prey species collected from waters around South Georgia were also analysed. Cluster analysis as well as classification and regression trees (CART) indicated that profiles from fur seals and elephant seals were significantly different. Southern elephant seal data could be distinguished from Antarctic fur seals by lower levels of the fatty acids 16:4 n1, 18:2 n6, 18:4 n3, 18:4 nl and 20:5 n3 and by higher levels of 18:0, 18:1 n9/ n11 (i.e. 18:1 n9 co-eluting with 18:1 n11) and 20:1 n9. Fatty acid signatures from the milk of Antarctic fur seals were closest to krill and fish species that were also known to feed on krill. Southern elephant seal fatty acid profiles were closest to species that are not known as krill predators such as larger notothenids and myctophids. The fatty acid profiles of Antarctic fur seals showed considerable inter-and intra-annual variability, which was congruent with diet variability detected using seat analyses. Southern elephant seals showed little variation in profile through lactation. In contrast to previous diet analyses based on examination of stomach contents, the results from FASA were consistent with a fish-based diet for Southern elephant seals.</t>
  </si>
  <si>
    <t>British Antarctic Survey, NERC, Cambridge CB3 0ET, England; Univ Birmingham, Sch Biol Sci, Birmingham B15 2TT, W Midlands, England</t>
  </si>
  <si>
    <t>UK Research &amp; Innovation (UKRI); Natural Environment Research Council (NERC); NERC British Antarctic Survey; University of Birmingham</t>
  </si>
  <si>
    <t>British Antarctic Survey, NERC, High Cross,Madingley Rd, Cambridge CB3 0ET, England.</t>
  </si>
  <si>
    <t>i.boyd@bas.ac.uk</t>
  </si>
  <si>
    <t>10.3354/meps187251</t>
  </si>
  <si>
    <t>WOS:000083830200022</t>
  </si>
  <si>
    <t>Peck, LS; Brockington, S; Vanhove, S; Beghyn, M</t>
  </si>
  <si>
    <t>Community recovery following catastrophic iceberg impacts in a soft-sediment shallow-water site at Signy Island, Antarctica</t>
  </si>
  <si>
    <t>Antarctica; iceberg; community; benthos; macrofauna; meiofauna; diversity</t>
  </si>
  <si>
    <t>SUBLITTORAL EPIFAUNAL COMMUNITIES; ICE-FOOT ZONE; POPULATION-STRUCTURE; SPECIES-DIVERSITY; BENTHIC COMMUNITY; DEEP-SEA; DISTURBANCE; SETTLEMENT; PREDATORS; MEIOFAUNA</t>
  </si>
  <si>
    <t>Ice disturbance is possibly the major structuring element of polar nearshore biological communities. Effects range from encapsulation by ice forming on rock substrata to gouging and trampling by bergs. Some 15 to 20% of the world's oceans are affected by this phenomenon, yet measurements of the extent of biological destruction from iceberg impacts and subsequent community recovery are very rare. Communities can be held at early successional stages, or even completely destroyed by scouring, and these effects occur from the intertidal to depths around 500 m in Antarctica. The wide scales of disturbance intensity are thought to add to the overall high levels of Antarctic benthic biological diversity, which has recently been shown to be similar to tropical areas. Data here indicate &gt;99.5 % removal of all macrofauna and &gt;90 % removal of most meiofauna by iceberg impact on a soft-sediment habitat at Signy Island, Antarctica. Species return was via locomotion, advection or larval recolonisation, and all 3 mechanisms worked on different timescales. Locomotion caused groups to return within 10 d of an impact. Storms with wind speeds around 100 km h(-1) induced water movements intense enough to advect meiofauna to the 9 m depth site. However, it was only during the strongest storm which occurred during the study (maximum wind speed 148 km h(-1)) that water movements were powerful enough to redistribute small macrofauna such as the bivalve Mysella charcoti.</t>
  </si>
  <si>
    <t>British Antarctic Survey, Nat Environm Res Council, Cambridge CB3 0ET, England; State Univ Ghent, Inst Dierkunde, B-9000 Ghent, Belgium</t>
  </si>
  <si>
    <t>UK Research &amp; Innovation (UKRI); Natural Environment Research Council (NERC); NERC British Antarctic Survey; Ghent University</t>
  </si>
  <si>
    <t>Peck, LS (corresponding author), British Antarctic Survey, Nat Environm Res Council, High Cross,Madingley Rd, Cambridge CB3 0ET, England.</t>
  </si>
  <si>
    <t>l.peck@bas.ac.uk</t>
  </si>
  <si>
    <t>10.3354/meps186001</t>
  </si>
  <si>
    <t>247PX</t>
  </si>
  <si>
    <t>WOS:000083230100001</t>
  </si>
  <si>
    <t>Marsh, AG; Manahan, DT</t>
  </si>
  <si>
    <t>A method for accurate measurements of the respiration rates of marine invertebrate embryos and larvae</t>
  </si>
  <si>
    <t>embryos; larvae; respiration; development; Sterechinus neumayeri; Odontaster validus</t>
  </si>
  <si>
    <t>OXYGEN-CONSUMPTION; HALIOTIS-RUFESCENS; ENERGY; METABOLISM</t>
  </si>
  <si>
    <t>Measurements of respiration rates are essential to quantify the energy requirements of embryos and larvae. Here we describe a 'mu BOD' method that employs small (&lt;1 ml) Biological Oxygen Demand (BOD) glass vials in which embryos and larvae are incubated. A decrease in oxygen concentration is measured by injecting seawater from each vial into the measurement chamber of a standard polarographic oxygen sensor. This mu BOD method was used to measure respiration rates of larvae of the sea urchin Strongylocentrotus purpuratus (at 15 degrees C) and embryos and larvae of 2 Antarctic echinoderms, the sea urchin Sterechinus neumayeri and the seastar Odontaster validus (both at -1.5 degrees C). For validation, a comparison of different methods was performed with embryos and larvae of S. neumayeri. The mu BOD method gave results for respiration rates during development that were equivalent to those obtained with either coulometric capacitance respirometry or standard Winkler's titrations of large (300 ml) BOD bottles. Currently, the most common method for measuring respiration rates of invertebrate embryos and larvae is to place them in small respiration chambers and continuously monitor oxygen tension with a polarographic oxygen sensor (POS). However, respiration rates for embryos and larvae of S, neumayeri were underestimated when standard POS measurements were compared to the measurements made with either mu BOD, Winkler's titrations or coulometric capacitance respirometry, A comparison of the mu BOD and POS methods during early development in S, neumayeri resulted in different estimates of 920 and 343 mu J, respectively, for the total energetic cost of embryogenesis to gastrulation, illustrating that the POS error can be as great as 63 %. The mu BOD method is accurate for micro-respiration measurements of invertebrate embryos and larvae as well as being simple to operate and appropriate for field work.</t>
  </si>
  <si>
    <t>Univ So Calif, Dept Biol Sci, Los Angeles, CA 90089 USA</t>
  </si>
  <si>
    <t>University of Southern California</t>
  </si>
  <si>
    <t>Marsh, AG (corresponding author), Univ So Calif, Dept Biol Sci, Los Angeles, CA 90089 USA.</t>
  </si>
  <si>
    <t>amarsh@usc.edu</t>
  </si>
  <si>
    <t>10.3354/meps184001</t>
  </si>
  <si>
    <t>229RF</t>
  </si>
  <si>
    <t>WOS:000082207800003</t>
  </si>
  <si>
    <t>Chaloupka, M; Osmond, M; Kaufman, G</t>
  </si>
  <si>
    <t>Estimating seasonal abundance trends and survival probabilities of humpback whales in Hervey Bay (east coast Australia)</t>
  </si>
  <si>
    <t>humpback whales; survivorship; abundance estimation; mark-recapture; robust design; Great Barrier Reef</t>
  </si>
  <si>
    <t>CAPTURE-RECAPTURE DATA; MEGAPTERA-NOVAEANGLIAE; POPULATION-STRUCTURE; RECRUITMENT; MIGRATION</t>
  </si>
  <si>
    <t>The abundance of east Australian Group V substock. (EAGVS) humpback whales resident during winter in Hervey Bay was estimated from a 10 yr mark-resight study using photo-identification of 969 individual humpbacks sighted between 1987 and 1996. Hervey Bay is on the east coast of Australia and is the major southbound stop-over site for humpbacks returning to Antarctic waters from overwintering in Great Barrier Reef (GBR) waters. Seasonal abundance estimates were derived from mark-resight profiles using a reduced form Cormack-Jolly-Seber (CJS) model (constant survival, time-varying resight likelihood) that fitted the data well. The bootstrap mean CJS abundance estimate over the 9 yr period from 1988 to 1996 was 855 (95 % CI: 750 to 936). Estimated humpback abundance in Hervey Bay showed significant temporal variability superimposed on an increasing linear trend estimated using times series regression model bootstrapping at 6.3 % yr(-1) (95 % CI: 2 to 11%). The seasonal Hervey Bay population comprised 30 to 50 % of the EAGVS southbound to Antarctic feeding grounds. Estimated abundance increased from 554 post-yearling humpbacks in 1988 to a peak of 1040 in 1991 before declining to 921 by the mid-1990s. Standard errors of abundance estimates suggested good precision and were derived using a variance components approach that separated sampling error from ecologically relevant variation. The trends in temporal variability and annual rate of humpback abundance increase were consistent with findings from an aerial surveillance study (1982 to 1996) of monthly sightings of the EAGVS overwintering in southern GBR waters. The concurrence of findings from an independent method of abundance estimation provides confidence in the CJS model used in this study to estimate abundance. Post-yearling survivorship was estimated from a 4 yr (1993 to 1996) photo-identification study of 517 individual humpbacks sighted at 2 seasonally sequential overwintering sites (Hervey Bay, Whitsundays) using a robust design CJS modelling approach with estimators that account for bias due to temporary emigration. A reduced form CJS model (constant survival, time-varying resight likelihood) also fitted the data well with the mean annual survival rate for the EAGVS humpbacks estimated at 0.966 (95 % CI: 0.87 to 1.00). The good fit of the robust design survival rate model provides further confidence in the Hervey Bay abundance model, which suggests that the EAGVS has been recovering but at a slow and variable rate.</t>
  </si>
  <si>
    <t>Pacific Whale Fdn, Kihei, HI 96753 USA; Queensland Environm Protect Agcy, Brisbane, Qld 4002, Australia</t>
  </si>
  <si>
    <t>Chaloupka, M (corresponding author), Univ Queensland, Dept Zool &amp; Entomol, St Lucia, Qld 4067, Australia.</t>
  </si>
  <si>
    <t>m.chaloupka@mailbox.uq.edu.au</t>
  </si>
  <si>
    <t>10.3354/meps184291</t>
  </si>
  <si>
    <t>WOS:000082207800029</t>
  </si>
  <si>
    <t>Amsler, CD; McClintock, JB; Baker, BJ</t>
  </si>
  <si>
    <t>An antarctic feeding triangle: defensive interactions between macroalgae, sea urchins, and sea anemomes</t>
  </si>
  <si>
    <t>chemical defense; physical defense; mutualism; macroalgae; sea urchins; sea anemones; Antarctica</t>
  </si>
  <si>
    <t>PTEROPOD CLIONE ANTARCTICA; CHEMICAL ECOLOGY; VERTICAL-DISTRIBUTION; MARINE-INVERTEBRATES; VESTFOLD HILLS; MCMURDO SOUND; SEAWEEDS; ASSOCIATIONS; RECRUITMENT; PTEROENONE</t>
  </si>
  <si>
    <t>A relationship between macroalgae (Phyllophora antarctica and Iridaea cordata), the sea urchin Sterechinus neumayeri, and the sea anemone Isotealia antarctica in Antarctica is described. Both macroalgal species are chemically defended against herbivory by S. neumayeri. Where macroalgae and urchins co-occur in the field, over 95 % of the urchins use macroalgae as cover and the vast majority of available drift is held by them. Urchins collected from sites without macroalgae prefer macroalgae over other cover materials in the laboratory, suggesting that they make an active behavioral choice to cover with macroalgae when available. Macroalgal cover acts as a defense against the major sea urchin predator, I. antarctica. Algal cover significantly increases the likelihood that urchins will escape from I. antarctica because the anemones' tentacles attach to the algae, which are subsequently released by the anemone or by both the urchin and the anemone. This defense is physical as thalli from which defensive chemicals have been extracted are equally protective. Macroalgae appear to derive benefit from this relationship because fertile drift plants are retained in the photic zone where they can continue to contribute to the gene pool. The urchins also extend the effective horizontal and vertical distributions of the macroalgae, which may help sustain the range of these algal populations in periods of reduced light availability. Hence, even though the macroalgae are chemically defended from urchin herbivory, this relationship is apparently mutualistic. It benefits the sea urchins by providing a defense against their primary predator and benefits the macroalgae by helping to sustain a reproductive population.</t>
  </si>
  <si>
    <t>Univ Alabama Birmingham, Dept Biol, Birmingham, AL 35294 USA; Florida Inst Technol, Dept Chem, Melbourne, FL 32901 USA</t>
  </si>
  <si>
    <t>University of Alabama System; University of Alabama Birmingham; Florida Institute of Technology</t>
  </si>
  <si>
    <t>Univ Alabama Birmingham, Dept Biol, Birmingham, AL 35294 USA.</t>
  </si>
  <si>
    <t>amsler@uab.edu</t>
  </si>
  <si>
    <t>Baker, Bill/N-4312-2019</t>
  </si>
  <si>
    <t>10.3354/meps183105</t>
  </si>
  <si>
    <t>222UK</t>
  </si>
  <si>
    <t>WOS:000081803500010</t>
  </si>
  <si>
    <t>Waluda, CM; Trathan, PN; Rodhouse, PG</t>
  </si>
  <si>
    <t>Influence of oceanographic variability on recruitment in the Illex argentinus (Cephalopoda: Ommastrephidae) fishery in the South Atlantic</t>
  </si>
  <si>
    <t>squid fishery; South Atlantic; Illex argentinus; oceanography; recruitment; El Nino; teleconnections</t>
  </si>
  <si>
    <t>ANTARCTIC CIRCUMPOLAR WAVE; SEA-SURFACE TEMPERATURE; STOCK ASSESSMENT; ABUNDANCE; CURRENTS; WATERS; BRAZIL; DYNAMICS; BIOLOGY; GROWTH</t>
  </si>
  <si>
    <t>The fishery for Illex argentinus in the Southwest Atlantic is subject to large inter-annual variability in recruitment strength. In this paper we attempt to build a predictive model using sea surface temperature (SST) to examine links between recruitment to the Falkland Islands fishery and environmental variability during the juvenile and adult life history stages. SST data from the National Center for Atmospheric Research (NCAR) were found to be comparable with near-surface data derived from in situ expendable bathy-thermograph (XBT) profiles in the southern Patagonian shelf. Variation in SST during the early life stages appears to be important in determining recruitment of I. argentinus. SST in the hatching grounds of the northern Patagonian shelf during the period of hatching (particularly June and July) was negatively correlated with catches in the fishery in the following season. SST anomaly data from positions in the Pacific and Southwest Atlantic were used to examine teleconnections between these areas. Links were seen at a lag of 2 yr between the Pacific and southern Patagonian shelf, and at about 5 yr between the Pacific and northern Patagonian shelf. This is consistent with SST anomalies associated with El Nino in the Pacific propagating around the globe via the Antarctic Circumpolar Wave (ACW). Predicting cold events via teleconnections between SST anomalies in the Pacific and Atlantic would appear to have the potential to predict the recruitment strength of I. argentinus in the Southwest Atlantic.</t>
  </si>
  <si>
    <t>British Antarctic Survey, NERC, Cambridge CB3 0ET, England; Univ Aberdeen, Dept Zool, Aberdeen AB24 2TZ, Scotland</t>
  </si>
  <si>
    <t>UK Research &amp; Innovation (UKRI); Natural Environment Research Council (NERC); NERC British Antarctic Survey; University of Aberdeen</t>
  </si>
  <si>
    <t>c.waluda@bas.ac.uk</t>
  </si>
  <si>
    <t>10.3354/meps183159</t>
  </si>
  <si>
    <t>WOS:000081803500015</t>
  </si>
  <si>
    <t>Cripps, GC; Watkins, JL; Hill, HJ; Atkinson, A</t>
  </si>
  <si>
    <t>Fatty acid content of Antarctic krill Euphausia superba at South Georgia related to regional populations and variations in diet</t>
  </si>
  <si>
    <t>Antarctic; krill; diet; fatty acids; regional populations; South Georgia</t>
  </si>
  <si>
    <t>MARGINAL ICE-ZONE; LIPID-COMPOSITION; PHAEOCYSTIS-POUCHETII; COMMUNITY STRUCTURE; RHINCALANUS-GIGAS; TROPHIC MARKERS; PHYTOPLANKTON; OCEAN; DANA; ZOOPLANKTON</t>
  </si>
  <si>
    <t>The fatty acid content of Antarctic krill Euphausia superba from South Georgia was investigated during January and February 1996, a period of relatively low algal biomass. Cluster analysis of the fatty acid data revealed 3 regionally distinct groups of krill. Group A consisted primarily of subadults (median length 42 mm) and was characterised by high proportions of 14:0, 16:0 and 18:1 (n-9) fatty acids. Group B comprised mainly juveniles and a small proportion of adults (median length 33 mm) and had a fatty acid profile similar to that of Group A. The largest group, Group C (8 of 14 stations, mostly to the east of the survey area), was almost exclusively juveniles plus a small number of sub-adults (median length 29 mm) and had unusually high percentages of polyunsaturated fatty acids [PUFA; 18:4(n-3), 20:5(n-3) and 22:6(n-3)]. Krill from Group C had the lowest total fatty acid concentrations (150 to 722 mg kg(-1)). These krill were surviving on the lowest algal biomass in the region and had probably resorted to carnivory on PUFA rich copepods. The pattern of fatty acids in krill from Groups A and B resembled that of krill collected from a diatom bloom in the Bellingshausen Sea, but the concentrations were generally lower. The well fed krill from the Bellingshausen Sea showed small variations in fatty acid content associated with sex and maturity, but the South Georgia results indicated that diet can have a greater impact on fatty acid content than sex and maturity stages. Fatty acid profiles were indicative of food regimes that were so distinct that the krill probably originated from spatially independent groups.</t>
  </si>
  <si>
    <t>British Antarctic Survey, NERC, Cambridge CB3 0ET, England; Univ E London, Dagenham RM8 2AS, England</t>
  </si>
  <si>
    <t>UK Research &amp; Innovation (UKRI); Natural Environment Research Council (NERC); NERC British Antarctic Survey; University of East London</t>
  </si>
  <si>
    <t>gccr@pcmail.nerc-bas.ac.uk</t>
  </si>
  <si>
    <t>Atkinson, Angus/HOH-3417-2023</t>
  </si>
  <si>
    <t>10.3354/meps181177</t>
  </si>
  <si>
    <t>204PE</t>
  </si>
  <si>
    <t>WOS:000080772700015</t>
  </si>
  <si>
    <t>Vanhove, S; Arntz, W; Vincx, M</t>
  </si>
  <si>
    <t>Comparative study of the nematode communities on the southeastern Weddell Sea shelf and slope (Antarctica)</t>
  </si>
  <si>
    <t>continental margin; Antarctica; free-living marine nematodes; environment</t>
  </si>
  <si>
    <t>DEEP-SEA; SPECIES-DIVERSITY; NE ATLANTIC; MEIOFAUNA COMMUNITIES; METAZOAN MEIOBENTHOS; STRUCTURAL-ANALYSIS; CONTINENTAL-SHELF; MARINE NEMATODES; SOUTHERN BIGHT; NORTH-CAROLINA</t>
  </si>
  <si>
    <t>Nothing is known about the structure of free-living marine nematode communities in the high Antarctic. Our attempt at surveying this numerically most abundant meiobenthic taxon along the continental shelf and slope (200 to 2000 m) furnished information on generic, trophic and age composition in 2 regions in the Weddell Sea (Kapp Norvegia, 6 stations, 71-72 degrees S, 12-13 degrees W; Halley Bay, 11 stations, 74-75 degrees S, 25-29 degrees W). A total of 7300 nematode identifications to generic level were analyzed by means of a variety of statistical techniques. The spatial structure indicated the existence of 4 major nematode genus associations colonizing the upper slope, downslope, Halley shelf and a mixed habitat consisting of shelf break and Kapp Norvegia shelf. Dominated by genera like Sabatieria, Molgolaimus, Microlaimus, Monhystera, Daptonema, Leptolaimus, Acantholaimus and Dichromadora, these habitats often contained distinct associations of less abundant genera. The trophically diverse communities exhibited an equal sharing of epistrate, nonselective and selective deposit feeders, with a slight dominance of the first feeding category. Each feeding guild was considered in Light of the correlations with microbial food and fresh versus decomposing organic matter, leading to the conclusion that the applied classification does not adequately explain the trophic status of the deep-water communities. Global-scale comparisons with literature data indicated the broad geographical distribution of predominant nematode taxa and a lack of Antarctic endemism. Only a weak separation of the entire nematode communities on a geographical basis was suggested by multivariate techniques. Although ocean-wide comparison was hampered by limited comparable literature data, diversity indices scored high and surpassed the Arctic bathyal assemblage. The major agents behind the observed patterns involved sediment grain size and food content, operating over different scales. Depth per se had no major effect. Underlying mechanisms included water-column productivity, hydrodynamics, iceberg activity and macrofaunal presence.</t>
  </si>
  <si>
    <t>State Univ Ghent, Dept Zool, Marine Biol Sect, B-9000 Ghent, Belgium; Alfred Wegener Inst Polar &amp; Marine Res, D-27568 Bremerhaven, Germany</t>
  </si>
  <si>
    <t>Ghent University; Helmholtz Association; Alfred Wegener Institute, Helmholtz Centre for Polar &amp; Marine Research</t>
  </si>
  <si>
    <t>Vanhove, S (corresponding author), State Univ Ghent, Dept Zool, Marine Biol Sect, KL Ledeganckstr 35, B-9000 Ghent, Belgium.</t>
  </si>
  <si>
    <t>sandra.vanhove@rug.ac.be</t>
  </si>
  <si>
    <t>10.3354/meps181237</t>
  </si>
  <si>
    <t>Green Published, Bronze</t>
  </si>
  <si>
    <t>WOS:000080772700020</t>
  </si>
  <si>
    <t>Robinson, C; Archer, SD; Williams, PJL</t>
  </si>
  <si>
    <t>Microbial dynamics in coastal waters of East Antarctica: plankton production and respiration</t>
  </si>
  <si>
    <t>photosynthesis; respiration; plankton; Antarctic</t>
  </si>
  <si>
    <t>ELECTRON-TRANSPORT ACTIVITY; COMMUNITY RESPIRATION; MARINE-PHYTOPLANKTON; DISSOLVED-OXYGEN; INORGANIC CARBON; SOUTHERN-OCEAN; SPRING BLOOM; WEDDELL SEA; C-14; SITE</t>
  </si>
  <si>
    <t>The rates of plankton community production and respiration were determined from in vitro changes in dissolved inorganic carbon and dissolved oxygen and the incorporation of (NaHCO3)-C-14 at a coastal site in East Antarctica between 16 December 1993 and 12 February 1994. The breakout of seasonal fast ice was associated with a succession of dominant phytoplankton from Cryptomonas to Phaeocystis to a diatom assemblage. Gross production reached 33 mmol C m(-3) d(-1) and C-14 incorporation peaked at 24 mmol C m(-3) d(-1) on 23 January 1994, at the time of the chlorophyll a maximum (22 mg chi a m(-3)). Dark community respiration reached its maximum (13 mmol C m(-3) d(-1)) 4 d later. Photosynthetic rates calculated from C-14 incorporation were significantly lower (17 to 59%) than rates of gross production. The derivation of plankton processes from changes in both dissolved oxygen and dissolved inorganic carbon allowed the direct measurement of photosynthetic and respiratory quotients. A linear regression of all data gave a photosynthetic quotient of 1.33 +/- 0.23 and a respiratory quotient of 0.88 +/- 0.14. Concurrent determinations of bacterial, heterotrophic dinoflagellate, nanoflagellate and ciliate respiration could account for 15 to 58% of measured dark-community respiration. This study has improved the sparse data set of plankton respiration measurements, confirmed that heterotrophic respiration is a significant process in the carbon flux of coastal Antarctic waters and achieved a first apportionment of community respiration to the major microbial groups in this region.</t>
  </si>
  <si>
    <t>Univ Wales Bangor, Sch Ocean Sci, Menai Bridge LL59 5EY, Gwynedd, Wales; British Antarctic Survey, Cambridge CB3 0ET, England; Univ Southampton, Dept Biol, Southampton SO16 7PX, Hants, England; Australian Antarctic Div, Kingston, Tas 7050, Australia</t>
  </si>
  <si>
    <t>Bangor University; UK Research &amp; Innovation (UKRI); Natural Environment Research Council (NERC); NERC British Antarctic Survey; University of Southampton; Australian Antarctic Division</t>
  </si>
  <si>
    <t>Robinson, C (corresponding author), Plymouth Marine Lab, Prospect Pl,W Hoe, Plymouth PL1 3DH, Devon, England.</t>
  </si>
  <si>
    <t>carol.robinson@pml.ac.uk</t>
  </si>
  <si>
    <t>Robinson, Carol/AAW-1857-2021; Archer, Stephen D/D-2011-2010; Robinson, Carol/F-7649-2011; Archer, Stephen/H-5490-2012</t>
  </si>
  <si>
    <t>Robinson, Carol/0000-0003-3033-4565; Robinson, Carol/0000-0003-3033-4565; Archer, Stephen/0000-0001-6054-2424</t>
  </si>
  <si>
    <t>10.3354/meps180023</t>
  </si>
  <si>
    <t>202RN</t>
  </si>
  <si>
    <t>WOS:000080666100003</t>
  </si>
  <si>
    <t>Günther, S; Gleitz, M; Dieckmann, GS</t>
  </si>
  <si>
    <t>Biogeochemistry of Antarctic sea ice:: a case study on platelet ice layers at Drescher Inlet, Weddell Sea</t>
  </si>
  <si>
    <t>Antarctic; platelet ice; nutrient cycling; carbon flux; DIC</t>
  </si>
  <si>
    <t>DENSE MICROALGAL BLOOM; HIGH-RESOLUTION; INORGANIC CARBON; DIATOM MORTALITY; SOUTHERN-OCEAN; MCMURDO SOUND; WATER COLUMN; LIFE-CYCLE; ROSS SEA; NUTRIENT</t>
  </si>
  <si>
    <t>Interstitial water samples collected from sea-ice platelet layers at a coastal site in the eastern Weddell Sea, Antarctica, were analyzed for total alkalinity, pH, major nutrient, oxygen, dissolved inorganic carbon (DIC) concentrations and biomass. Based on the data obtained here and in previous studies on sea-ice ecosystems, a conceptual description of biogeochemical processes during maturation of algal blooms in semi-enclosed sea-ice habitats is presented. The concept invokes an initial phase of nitrate-based 'new' production during which nutrient replenishment from the surrounding seawater surpasses algal demand. leading to rapid accumulation of algal biomass in excess of what is accounted for by the apparent DIC and nutrient depletion. As long as nitrate is present in non-limiting quantities, primary production proceeds in dose agreement with Redfield ratios. During later stages of the bloom, algal nutrient demand exceeds replenishment, and nitrate is completely consumed, where the photosynthetic quotient indicates utilization of ammonium. Following nitrate exhaustion. photosynthetic carbon fixation is maintained, but is directed towards production of carbon-rich metabolites and excretion of dissolved organic matter, leading to further DIC drawdown and alteration of algal biochemical composition from the nitrate-replete state. During both phases, cell mortality and lysis in conjunction with inefficient feeding of metazooplankton (if present) lead to liberation and subsequent accumulation of dissolved matter including major nutrients. The co-occurrence of phosphate accumulation, strong oxygen supersaturation and depleted DIC concentration thus suggest that heterotrophic oxidation of organic matter may not represent the major pathway by which nutrients are regenerated in sea-ice ecosystems.</t>
  </si>
  <si>
    <t>Alfred Wegener Inst Polar &amp; Marine Res, Postfach 120161, D-27515 Bremerhaven, Germany.</t>
  </si>
  <si>
    <t>sguenther@awi-bremerhaven.de</t>
  </si>
  <si>
    <t>Dieckmann, Gerhard S/B-4307-2010</t>
  </si>
  <si>
    <t>10.3354/meps177001</t>
  </si>
  <si>
    <t>177NC</t>
  </si>
  <si>
    <t>WOS:000079215300001</t>
  </si>
  <si>
    <t>Mock, T; Gradinger, R</t>
  </si>
  <si>
    <t>Determination of Arctic ice algal production with a new in situ incubation technique</t>
  </si>
  <si>
    <t>Arctic; sea ice; algae; biomass; chlorophyll a; in situ primary production; growth rate; nutrients; methods</t>
  </si>
  <si>
    <t>ANTARCTIC SEA-ICE; PHOTOSYNTHESIS-IRRADIANCE RELATIONSHIPS; MICROBIAL COMMUNITIES SIMCO; BOTTOM-ICE; BARENTS SEA; HUDSON-BAY; NUTRIENT LIMITATION; RESOLUTE PASSAGE; PHYSICAL CONTROL; MCMURDO-SOUND</t>
  </si>
  <si>
    <t>A new in situ incubation technique was developed to measure primary production in sea ice. This method allows fine-scale measurements in 1 cm thick vertical sections throughout the ice column without severe disruption of ice morphology, geochemistry and light field. Easy handling in the field makes this device usable for all scientists working on sea ice biota. Primary production within first(FYSI) and multi-year sea-ice (MYSI) cores of the Barents and Greenland Seas was determined during the RV 'Polarstern' cruise ARK XIII/1(a+b). In order to measure algal production, 6 slices of 1 cm thickness were cut off at regular intervals along an ice core and incubated in sealed glass petri dishes. The incubation chambers and a chamber for dark fixation, together with the remaining sections of the ice core, were placed in an an acrylic-glass barrel of 1 m length, and returned to their original positions inside the core hole for in situ rate determinations. Additional ice cores were drilled to determine ice temperature and nutrient and algal pigment concentrations. The incident photosynthetically active radiation (PAR) as well as under ice irradiance was measured. Steep gradients in primary production were found throughout the ice floes, with maximum values of 7.7 mu g C 1(-1) h(-1) in the bottom few centimetres corresponding to the highest concentrations of chlorophyll a (84 mu g 1(-1)). Nutrient concentrations in brine varied between ice stations and with ice depth: 0-88.4 mu mol I-1 for NH4; 2.2-13.6 mu mol 1(-1) for NO3; 0-0.5 mu mol 1(-1) for NO2; 0-12.4 mu mol 1(-1) for PO4; and 0.2-23.5 mu mol 1(-1) for SiO4. Mean integrated production at the 4 stations (0.76-9.67 mg C m(-2) d(-1)) varied with PAR and total dissolved nitrogen. Integrated production of the ice interior community (more than 5 cm from bottom of floe) was in the same range as or sometimes exceeded production in the bottom community (0-5 cm) of MSI as well as MYSI. Growth rates of the ice algae ranged from 0.01 to 0.5 d(-1). As previous primary production methods were restricted to the study of bottom communities only, we assert that algal primary production in Arctic as well as Antarctic sea ice has been severely underestimated.</t>
  </si>
  <si>
    <t>Univ Kiel, Sonderforsch Bereich 313, D-24118 Kiel, Germany; Inst Polarokol, D-24148 Kiel, Germany</t>
  </si>
  <si>
    <t>Mock, T (corresponding author), Alfred Wegener Inst Polar &amp; Marine Res, Handelshafen 12, D-27570 Bremerhaven, Germany.</t>
  </si>
  <si>
    <t>tmock@awi-bremerhaven.de</t>
  </si>
  <si>
    <t>Mock, Thomas/A-3127-2008; Gradinger, Rolf/E-4965-2015</t>
  </si>
  <si>
    <t>Mock, Thomas/0000-0001-9604-0362; Gradinger, Rolf/0000-0001-6035-3957</t>
  </si>
  <si>
    <t>10.3354/meps177015</t>
  </si>
  <si>
    <t>WOS:000079215300002</t>
  </si>
  <si>
    <t>Reid, K; Watkins, JL; Croxall, JP; Murphy, EJ</t>
  </si>
  <si>
    <t>Krill population dynamics at South Georgia 1991-1997, based on data from predators and nets</t>
  </si>
  <si>
    <t>krill; South Georgia; Antarctic fur seal; macaroni penguin; gentoo penguin; RMT 8</t>
  </si>
  <si>
    <t>ANTARCTIC FUR SEALS; EUPHAUSIA-SUPERBA; VARIABILITY; ABUNDANCE; CAUGHT; DIET</t>
  </si>
  <si>
    <t>Central to understanding krill population dynamics is knowledge of their population structure. To examine this we used length-frequency distributions from 142 wk of sampling (n = 23996 krill) of 3 predator species breeding at South Georgia and 12 wk of sampling (n = 10252 krill) from scientific nets from the same area over the summers of 1991-1997. In comparing the 5 years for which both predator and net samples were available, despite differing selectivities and spatio-temporal circumscriptions, both predators and nets were sampling the same overall krill population. Greatest similarity resulted from comparing net samples with samples from Antarctic fur seals and macaroni penguins combined; least temporal variation occurred in predator samples from late summer (March). From the 7 yr predator time series, within-year variation was greatest in 1991 and 1994, both years of low krill biomass at South Georgia. In both of these years large krill dominated during December but were completely replaced by small krill by February. The mean length of the March krill population showed a regular increase from 1991 to 1993, fell to a minimum in 1994 and thereafter increased steadily to 1997. Using these data in conjunction with putative size/age-group cohorts in the length-frequency distribution. we suggest that years of high mean krill length reflect failure of small krill to recruit into the population, producing a period of low krill biomass in the following year. Similar recruitment failure in the same years was evident in krill populations in the Antarctic Peninsula region to the south, indicating large-scale events. This supports suggestions of periodic fluctuations in krill production and recruitment which may relate directly to physical phenomena such as cycles in the distribution and extent of sea ice.</t>
  </si>
  <si>
    <t>Reid, K (corresponding author), British Antarctic Survey, NERC, Madingley Rd, Cambridge CB3 0ET, England.</t>
  </si>
  <si>
    <t>k.reid@bas.ac.uk</t>
  </si>
  <si>
    <t>10.3354/meps177103</t>
  </si>
  <si>
    <t>WOS:000079215300010</t>
  </si>
  <si>
    <t>Croxall, JP; Reid, K; Prince, PA</t>
  </si>
  <si>
    <t>Diet, provisioning and productivity responses of marine predators to differences in availability of Antarctic krill</t>
  </si>
  <si>
    <t>predator performance; prey availability; Antarctic krill; albatrosses; penguins; fur seals</t>
  </si>
  <si>
    <t>PRION PACHYPTILA-DESOLATA; PENGUINS PYGOSCELIS-PAPUA; ALBATROSS DIOMEDEA-CHRYSOSTOMA; TERNS STERNA-PARADISAEA; GUILLEMOTS URIA-AALGE; SOUTH-GEORGIA; FUR SEALS; FEEDING ECOLOGY; BIRD-ISLAND; INTERANNUAL VARIATION</t>
  </si>
  <si>
    <t>Knowledge of relationships between prey availability and predator performance is the key to using predators as indicators of the state of marine systems and to assessing potential consequences of competition between natural predators and man for common resources. Fluctuations in the abundance of Antarctic krill are believed to have a substantial influence on the reproductive performance of krill-dependent top predator species in the Southern Ocean; few quantifications of such interactions exist. At South Georgia, for 2 years in which acoustic surveys revealed a major difference in krill abundance, we compared diet, provisioning of offspring and breeding success in 4 main predator species (2 penguins, 2 albatrosses, with supporting data from Antarctic fur seal) whose dependence on krill typically ranges from 20 to 90%. The 4-fold difference in krill biomass between 1986 (ca 30 g m(-2)) and 1994 (ca 7 g m(-2)) was accompanied by (1) an 88 to 90% reduction in the mass of krill in predator diets (and some increase in the fish component), (2) greater prey diversity for most species, (3) reduced diet overlap between species and (4) a switch from krill to amphipods in macaroni penguin but no major dietary change in other species. Rates of provisioning of offspring decreased by 90% in gentoo penguin and 40 to 50% in the other 3 species; this was due to reduced meal size in penguins (by 90% in gentoo and 50% in macaroni) and to doubling of foraging trip duration in albatrosses. Breeding success was reduced by 50% in grey-headed albatross (the species least dependent on krill), by 90% in black-browed albatross and gentoo penguin (only 3 to 4% of eggs producing fledged chicks) but by only 10% in macaroni penguin, presumably reflecting its ability to switch to small prey unprofitable for the other species. However, all species (except for black-browed albatross), particularly macaroni penguin, produced fledglings significantly lighter than usual, probably affecting their subsequent survival. Some effects on adult survival could also be inferred. Our results show a coherent, though complex, pattern of within and between species similarities and differences. These mainly reflect the degree of dependence on krill, the feasibility of taking alternative prey and constraints on trip duration and/or meal size imposed by foraging adaptations (especially relating to travel speeds and diving abilities, whereby flightless divers and pelagic foragers differ markedly). The generality of these principles are explored through comparison with other studies, particularly of Shetland seabirds.</t>
  </si>
  <si>
    <t>Croxall, JP (corresponding author), British Antarctic Survey, NERC, Madingley Rd, Cambridge CB3 0ET, England.</t>
  </si>
  <si>
    <t>j.croxall@bas.ac.uk</t>
  </si>
  <si>
    <t>10.3354/meps177115</t>
  </si>
  <si>
    <t>WOS:000079215300011</t>
  </si>
  <si>
    <t>Nevitt, G</t>
  </si>
  <si>
    <t>Olfactory foraging in Antarctic seabirds: a species-specific attraction to krill odors</t>
  </si>
  <si>
    <t>procellariiform; olfaction; Antarctica; petrels; seabirds; foraging; krill</t>
  </si>
  <si>
    <t>SOUTH GEORGIA; EUPHAUSIA-SUPERBA; DIMETHYL SULFIDE; FEEDING ECOLOGY; PROCELLARIIFORMS; BEHAVIOR; BIRDS; FOOD; SEA</t>
  </si>
  <si>
    <t>Antarctic procellariiform seabirds are known for their well-developed sense of smell, yet few behavioral experiments have addressed how these birds use olfactory cues to forage at sea. I describe results from controlled, shipboard experiments performed in Antarctic waters near Elephant Island. Birds were presented with plain or krill-scented (Euphausia superba) vegetable oil slicks, and their behavioral responses were compared. Krill-scented vegetable oil slicks were highly attractive to some but not all procellariiform species foraging in this area (p &lt; 0.001, G-test). Cape petrels Daption capense and southern giant petrels Macronectes giganteus appeared at krill-scented slicks within 1 min, whereas black-browed albatrosses Diomedea melanophris appeared within 3 min. Cape petrels D, capense showed the strongest attraction: these birds were observed as much as 5 times as frequently at krill-scented slicks as compared to unscented control slicks (p &lt; 0.001, G-test), while storm-petrels (Oceanites oceanicus and Fregetta tropica) and Antarctic Fulmars Fulmarus glacialoides responded in equal numbers to krill-scented and unscented slicks. When considered with respect to previously published findings, these results suggest a greater complexity in the significance of odors to the foraging ecology of different tube-nosed species than has commonly been assumed.</t>
  </si>
  <si>
    <t>Univ Calif Davis, Div Biol Sci, Sect Neurobiol Physiol &amp; Behav, Davis, CA 95616 USA</t>
  </si>
  <si>
    <t>University of California System; University of California Davis</t>
  </si>
  <si>
    <t>Univ Calif Davis, Div Biol Sci, Sect Neurobiol Physiol &amp; Behav, Davis, CA 95616 USA.</t>
  </si>
  <si>
    <t>ganevitt@ucdavis.edu</t>
  </si>
  <si>
    <t>10.3354/meps177235</t>
  </si>
  <si>
    <t>WOS:000079215300021</t>
  </si>
  <si>
    <t>Waugh, SM; Weimerskirch, H; Cherel, Y; Shankar, U; Prince, PA; Sagar, PM</t>
  </si>
  <si>
    <t>Exploitation of the marine environment by two sympatric albatrosses in the Pacific Southern Ocean</t>
  </si>
  <si>
    <t>marine environmental; albatross; satellite tracking</t>
  </si>
  <si>
    <t>BLACK-BROWED ALBATROSSES; TRACKED KING PENGUINS; WANDERING ALBATROSSES; DIOMEDEA-MELANOPHRIS; SATELLITE TRACKING; PELAGIC SEABIRD; CROZET ARCHIPELAGO; ACTIVITY PATTERN; BREEDING-SEASON; FORAGING TRIPS</t>
  </si>
  <si>
    <t>The marine habitat exploited by black-browed Diomedea melanophrys and grey-headed albatrosses D. chrysostoma breeding at Campbell Island. New Zealand, was studied using satellite telemetry. Data were analysed in relation to the bathymetry and sea-surface temperature of the foraging zones. Black-browed albatrosses spent 55 % of their time on the Campbell Plateau but also carried out long foraging trips to the Polar Front and Antarctic Zone at a distance of over 2000 km. They relied heavily on juvenile Micromesistius australis, a schooling fish, during foraging trips to the shelf but over oceanic waters the squid Martialia hyadesi was the main prey taken. Grey-headed albatrosses spent 71 % of their time foraging over the deep waters of the Polar Frontal Zone where M, hyadesi comprised over 90% of the mass of prey taken. No satellite-tracked birds fed over the shelf, but data from the duration of foraging trips and dietary analysis suggests that shelf-feeding is important for this species. Significant inter-species differences in the time spent in neritic and oceanic zones show that black-browed albatrosses are reliant primarily on shelf resources while grey-headed albatrosses are primarily oceanic feeders. In addition, the 2 species overlapped little in the zones used over oceanic waters, with black-browed albatrosses feeding in more southerly waters than grey-headed albatrosses. However, both species feed on M. hyadesi when foraging in association with the Polar Front.</t>
  </si>
  <si>
    <t>CNRS, CEBC, F-79360 Villiers En Bois, France; NIWA, Christchurch, New Zealand; British Antarctic Survey, NERC, Cambridge CB3 0ET, England</t>
  </si>
  <si>
    <t>Centre National de la Recherche Scientifique (CNRS); National Institute of Water &amp; Atmospheric Research (NIWA) - New Zealand; UK Research &amp; Innovation (UKRI); Natural Environment Research Council (NERC); NERC British Antarctic Survey</t>
  </si>
  <si>
    <t>CNRS, CEBC, F-79360 Villiers En Bois, France.</t>
  </si>
  <si>
    <t>susanwaugh@netscape.net</t>
  </si>
  <si>
    <t>10.3354/meps177243</t>
  </si>
  <si>
    <t>WOS:000079215300022</t>
  </si>
  <si>
    <t>Atkinson, A; Ward, P; Hill, A; Brierley, AS; Cripps, GC</t>
  </si>
  <si>
    <t>Krill-copepod interactions at South Georgia, Antarctica, II.: Euphausia superba as a major control on copepod abundance</t>
  </si>
  <si>
    <t>Antarctic krill; Euphausia superba; copepods; South Georgia; Southern Ocean; distribution; population control; feeding interactions</t>
  </si>
  <si>
    <t>MARGINAL ICE-ZONE; DIEL VERTICAL MIGRATION; POLAR FRONTAL ZONE; CALANOIDES-ACUTUS; WEDDELL-SEA; MESOSCALE DISTRIBUTION; RHINCALANUS-GIGAS; AUSTRAL SUMMER; LIFE-CYCLE; FOOD-WEB</t>
  </si>
  <si>
    <t>Euphausia superba thereafter 'krill') and copepods are major zooplankton taxa in the Southern Ocean, but there is Little information on how they interact. This paper investigates their coincidence across a wide range of temporal and spatial scales to examine whether copepod distribution is related to that of krill. During 2 summers of high krill abundance near South Georgia (1996 and 1993) copepod abundance was &lt;40% of that during an abnormally low krill year (1994). No such depletion was found north of the Polar Front, where krill were rare. Analysis of 2 mesoscale data sets showed that krill, rather than food or environmental factors, were most strongly implicated in copepod distribution. An area of persistently high krill abundance just north of South Georgia was characterised by exceptionally few copepods. Fine-scale relationships between patches of krill and copepods were studied with a Longhurst Hardy Plankton Recorder. Within krill swarms copepod abundance was low, but more dispersed krill associated with high concentrations of copepods. Copepods also appeared to live deeper and to make more extensive vertical migrations when krill were present. The inverse relationship between krill and copepod abundances thus occurred repeatedly and across a wide range of scales. The facts that krill swarms are mobile and were unrelated to hydrography further suggest that the inverse relationship was caused by krill. This could arise from competitive exclusion, direct predation or both. Evidence for competition is that South Georgia copepods rely on high phytoplankton biomass for recruitment and krill can remove this. Predation is suggested by the fact that crustaceans were found in krill guts in this region during both summer and winter. During the 1996 summer, experiment tally derived predation rates on copepods, combined with krill biomass values, suggested a significant impact on small copepods. Therefore we suggest that copepod numbers can be controlled by a combination of competition and predation by krill.</t>
  </si>
  <si>
    <t>Atkinson, A (corresponding author), British Antarctic Survey, NERC, High Cross,Madingley Rd, Cambridge CB3 0ET, England.</t>
  </si>
  <si>
    <t>a.atkinson@bas.ac.uk</t>
  </si>
  <si>
    <t>Atkinson, Angus/HOH-3417-2023; Brierley, Andrew/G-8019-2011</t>
  </si>
  <si>
    <t>Brierley, Andrew/0000-0002-6438-6892</t>
  </si>
  <si>
    <t>10.3354/meps176063</t>
  </si>
  <si>
    <t>172HV</t>
  </si>
  <si>
    <t>WOS:000078918200007</t>
  </si>
  <si>
    <t>[Anonymous]</t>
  </si>
  <si>
    <t>Disease may threaten Antarctic wildlife</t>
  </si>
  <si>
    <t>MARINE POLLUTION BULLETIN</t>
  </si>
  <si>
    <t>News Item</t>
  </si>
  <si>
    <t>0025-326X</t>
  </si>
  <si>
    <t>1879-3363</t>
  </si>
  <si>
    <t>MAR POLLUT BULL</t>
  </si>
  <si>
    <t>Mar. Pollut. Bull.</t>
  </si>
  <si>
    <t>Environmental Sciences; Marine &amp; Freshwater Biology</t>
  </si>
  <si>
    <t>Environmental Sciences &amp; Ecology; Marine &amp; Freshwater Biology</t>
  </si>
  <si>
    <t>169CX</t>
  </si>
  <si>
    <t>WOS:000078730900013</t>
  </si>
  <si>
    <t>Greet, PA; Dyson, PL</t>
  </si>
  <si>
    <t>Rottger, J; Fukao, S; Krivolutsky, A</t>
  </si>
  <si>
    <t>Tidal periodicities in observations of the OH(6-2) emission from Mawson, Antarctica.</t>
  </si>
  <si>
    <t>MESOPAUSE AND EXTRA-TERRESTRIAL INFLUENCES ON THE OZONE LAYER</t>
  </si>
  <si>
    <t>C2 1 and C2 2 Symposia of COSPAR Scientific Commission C Held at the 32nd COSPAR Scientific Assembly</t>
  </si>
  <si>
    <t>SOUTH-POLE</t>
  </si>
  <si>
    <t>High-resolution Fabry-Perot spectrometer observations of the OH (6-2) Q(1)(1) line, lambda 834.460 nm, have been made at Mawson, Antarctica on a limited campaign basis since 1993. In August 1995, some data were obtained on 14 days in a 15 day period. Periodicities have been identified using the Lomb-Scargle technique. The most significant periodicity in the zonal wind and the meridional wind and intensity is at twelve hours. These results are compared with other measurements and a model of high latitude semidiurnal tidal oscillations. (C) 1999 COSPAR. Published by Elsevier Science Ltd.</t>
  </si>
  <si>
    <t>Australian Antarctic Div, Kingston, Tas 7050, Australia; La Trobe Univ, Sch Phys, Bundoora, Vic 3083, Australia</t>
  </si>
  <si>
    <t>Australian Antarctic Division; La Trobe University</t>
  </si>
  <si>
    <t>Greet, PA (corresponding author), Australian Antarctic Div, Channel Highway, Kingston, Tas 7050, Australia.</t>
  </si>
  <si>
    <t>10.1016/S0273-1177(99)00204-5</t>
  </si>
  <si>
    <t>BP17N</t>
  </si>
  <si>
    <t>WOS:000084313200007</t>
  </si>
  <si>
    <t>Jarvis, MJ; Jones, GOL; Jenkins, B</t>
  </si>
  <si>
    <t>New initiatives in observing the Antarctic mesosphere</t>
  </si>
  <si>
    <t>QUASI-BIENNIAL OSCILLATION; LOWER THERMOSPHERE; THERMAL STRUCTURE; SEMIDIURNAL TIDE; METEOR ECHOES; HALLEY; EMISSIONS; MF</t>
  </si>
  <si>
    <t>Studies of the Antarctic mesosphere, and its contrasts with the Arctic, are expected to hold the key to improved understanding of the mesopause region and energy and momentum transfer processes linking the mesosphere to the atmosphere below and the magnetosphere above. It is with this objective that a number of new initiatives are being undertaken at the British Antarctic Survey (BAS) research stations at Halley (76 degrees S, 27 degrees W) and Rothera (68 degrees S, 68 degrees W), both through new uses of existing instrumentation and through collaborative programmes with other groups. A brief review of recent developments and their scientific rationale is presented. (C) 1999 COSPAR. Published by Elsevier Science Ltd.</t>
  </si>
  <si>
    <t>Jarvis, MJ (corresponding author), British Antarctic Survey, Madingley Rd, Cambridge CB3 0ET, England.</t>
  </si>
  <si>
    <t>10.1016/S0273-1177(99)00479-2</t>
  </si>
  <si>
    <t>WOS:000084313200012</t>
  </si>
  <si>
    <t>Carginale, V; Scudiero, R; Capasso, A; Capasso, C; Passaretti, G; di Prisco, G; Kille, P; Parisi, E</t>
  </si>
  <si>
    <t>Klaassen, CD</t>
  </si>
  <si>
    <t>Accumulation of untranslated metallothionein mRNA in antarctic hemoglobinless fish (icefish)</t>
  </si>
  <si>
    <t>METALLOTHIONEIN IV</t>
  </si>
  <si>
    <t>4TH International Metallothionein Meeting (MT-97)</t>
  </si>
  <si>
    <t>KANSAS CITY, MO</t>
  </si>
  <si>
    <t>MESSENGER-RNA; POSTTRANSCRIPTIONAL REGULATION; NONCODING SEQUENCES; EXPRESSION; DIFFERENCE; ZINC</t>
  </si>
  <si>
    <t>Icefish (Notothenioidei, Channichthyidae) are a group of Antarctic fish displaying unique phenotype characteristics. Besides the reported lack of hemoglobin, icefish have a very low metallothionein (MT) content compared to Antarctic red-blooded fish. Despite the low amount of MT protein in icefish, cDNA encoding two MT isoforms could be produced from total hepatic RNA by RT-PCR. The mRNA 5' end fragments were amplified by 5'-RACE. Steady-state mRNA levels were assessed in both icefish and red-blooded fish by high stringency hybridization of the MT probe with total RNA. The results showed the presence of large amounts of MT mRNA in icefish liver. A further increase in MT mRNA was observed in Cd-treated icefish which was accompanied by the appearance of large amounts of MT protein. A comparison of the sequences of the 5' ends of the mRNAs showed the lack of a short motif in the 5'-UTR of only one of the two MT isoforms. On the basis of these results, we suggest that translation of the mRNA encoding an MT isoform is regulated in icefish by specific motifs in the 5' end.</t>
  </si>
  <si>
    <t>CNR, Inst Prot Biochem &amp; Enzymol, I-80125 Naples, Italy</t>
  </si>
  <si>
    <t>Consiglio Nazionale delle Ricerche (CNR); Istituto di Biochimica delle Proteine (IBP-CNR)</t>
  </si>
  <si>
    <t>CNR, Inst Prot Biochem &amp; Enzymol, Via Marconi 10, I-80125 Naples, Italy.</t>
  </si>
  <si>
    <t>Kille@cardiff.ac.uk; parisi@iigbna.iigb.na.cnr.it</t>
  </si>
  <si>
    <t>Scudiero, Rosaria/AAI-2119-2020; Kille, Peter/A-4337-2010; CAPASSO, CLEMENTE/P-3522-2016; Carginale, Vincenzo/N-2531-2014</t>
  </si>
  <si>
    <t>Kille, Peter/0000-0001-6023-5221; CAPASSO, CLEMENTE/0000-0003-3314-2411; Carginale, Vincenzo/0000-0002-1842-494X</t>
  </si>
  <si>
    <t>BIRKHAUSER VERLAG AG</t>
  </si>
  <si>
    <t>VIADUKSTRASSE 40-44, PO BOX 133, CH-4010 BASEL, SWITZERLAND</t>
  </si>
  <si>
    <t>3-7643-5830-0</t>
  </si>
  <si>
    <t>Biochemistry &amp; Molecular Biology; Toxicology</t>
  </si>
  <si>
    <t>BP39D</t>
  </si>
  <si>
    <t>WOS:000084979200021</t>
  </si>
  <si>
    <t>Goodrich, CA</t>
  </si>
  <si>
    <t>Are ureilites residues from partial melting of chondritic material? The answer from MAGPOX</t>
  </si>
  <si>
    <t>METEORITICS &amp; PLANETARY SCIENCE</t>
  </si>
  <si>
    <t>ANTARCTIC UREILITES; PARENT BODY; ORIGIN; MINERALOGY; METEORITES; EVOLUTION; CARBON; DIFFERENTIATION; EQUILIBRIA; PETROLOGY</t>
  </si>
  <si>
    <t>Calculations performed using MAGPOX show that no bulk compositions having chondritic Ca/Al ratio and within the range of chondritic Si/Mg ratios can produce the olivine-pigeonite ureilites (which constitute 65% of those for which modal abundances are known) as residues of single-stage equilibrium partial melting. Calcium/aluminum ratios of 2-3.5 x CI are required. In addition, all the ureilites could not have formed from a single composition at various degrees of reduction, because they show no correlation between pigeonite/olivine ratio and mg ratio. Materials with various Al/Mg ratios, ranging from subchondritic to superchondritic, are required. If these materials are primitive (i, e., created by nebular processes rather than planetary igneous processes), they are unknown in the meteorite record. Excess accretion (relative to chondrites) of 5-10 mol% of a high-temperature condensate component, which was itself almost completely depleted in corundum due to early fractionation, could create the necessary compositions. The plausibility that such processes occurred on a parent-body sized scale is difficult to assess. In contrast, lodranites can be produced as residues of similar to 3-30% equilibrium partial melting of an average ordinary chondritic composition at the appropriate level of reduction. Although many features of ureilites suggest that they are relatively primitive residues produced by low degrees of melting of chondritic materials, and thus resemble lodranites and other groups of primitive achondrites, their predominantly pigeonite + olivine mineralogy remains difficult to explain within this simple scenario.</t>
  </si>
  <si>
    <t>Max Planck Inst Chem, Abt Kosmochem, D-55020 Mainz, Germany</t>
  </si>
  <si>
    <t>Goodrich, CA (corresponding author), Max Planck Inst Chem, Abt Kosmochem, Postfach 3060, D-55020 Mainz, Germany.</t>
  </si>
  <si>
    <t>goodrich@mpch-mainz.mpg.de</t>
  </si>
  <si>
    <t>METEORITICAL SOC</t>
  </si>
  <si>
    <t>FAYETTEVILLE</t>
  </si>
  <si>
    <t>DEPT CHEMISTRY/BIOCHEMISTRY, UNIV ARKANSAS, FAYETTEVILLE, AR 72701 USA</t>
  </si>
  <si>
    <t>0026-1114</t>
  </si>
  <si>
    <t>METEORIT PLANET SCI</t>
  </si>
  <si>
    <t>Meteorit. Planet. Sci.</t>
  </si>
  <si>
    <t>10.1111/j.1945-5100.1999.tb01736.x</t>
  </si>
  <si>
    <t>161QX</t>
  </si>
  <si>
    <t>WOS:000078301400012</t>
  </si>
  <si>
    <t>Mastrantonio, G; Malvestuto, V; Argentini, S; Georgiadis, T; Viola, A</t>
  </si>
  <si>
    <t>Evidence of a convective boundary layer developing on the Antarctic Plateau during the summer</t>
  </si>
  <si>
    <t>METEOROLOGY AND ATMOSPHERIC PHYSICS</t>
  </si>
  <si>
    <t>International Symposium of Acoustic Remote of the Atmosphere and Oceans</t>
  </si>
  <si>
    <t>JUL 06-10, 1998</t>
  </si>
  <si>
    <t>VIENNA, AUSTRIA</t>
  </si>
  <si>
    <t>The development of a convective boundary layer over the Antarctic Plateau is documented by a Doppler minisodar data-set recorded during a 10 day campaign in January 1997. The vertical velocities associated with thermals do not exceed 1 m/s, while the depth of the convective layer, usually less than 200 m, never surpasses 300 m. Measurements of momentum flux, sensible heat flux, wind speed and radiation budget show characteristics that are typical of a convective boundary layer evolution. The diurnal behaviour of absolute humidity, however, exhibits features that are not expected, e.g. anticorrelation with incoming net radiation and air temperature.</t>
  </si>
  <si>
    <t>CNR, Ist Fis Atmosfera, I-00133 Rome, Italy; CNR, ISAO, I-40126 Bologna, Italy</t>
  </si>
  <si>
    <t>Consiglio Nazionale delle Ricerche (CNR); Consiglio Nazionale delle Ricerche (CNR)</t>
  </si>
  <si>
    <t>Mastrantonio, G (corresponding author), CNR, Ist Fis Atmosfera, Via Fosso Cavaliere 100, I-00133 Rome, Italy.</t>
  </si>
  <si>
    <t>Georgiadis, Teodoro/I-5666-2012; Georgiadis, Teodoro/AAH-4342-2019; viola, angelo p/C-7184-2015</t>
  </si>
  <si>
    <t>Georgiadis, Teodoro/0000-0002-3103-038X; Georgiadis, Teodoro/0000-0002-3103-038X; ARGENTINI, STEFANIA/0000-0002-7939-0309; viola, angelo pietro/0000-0002-6545-7496</t>
  </si>
  <si>
    <t>SPRINGER-VERLAG WIEN</t>
  </si>
  <si>
    <t>VIENNA</t>
  </si>
  <si>
    <t>SACHSENPLATZ 4-6, PO BOX 89, A-1201 VIENNA, AUSTRIA</t>
  </si>
  <si>
    <t>0177-7971</t>
  </si>
  <si>
    <t>METEOROL ATMOS PHYS</t>
  </si>
  <si>
    <t>Meteorol. Atmos. Phys.</t>
  </si>
  <si>
    <t>10.1007/s007030050050</t>
  </si>
  <si>
    <t>264ZK</t>
  </si>
  <si>
    <t>WOS:000084213600014</t>
  </si>
  <si>
    <t>Kiessling, W</t>
  </si>
  <si>
    <t>Late Jurassic radiolarians from the Antarctic Peninsula</t>
  </si>
  <si>
    <t>MICROPALEONTOLOGY</t>
  </si>
  <si>
    <t>CARBONATE CONCRETIONS; PHYSIOLOGICAL ECOLOGY; NORTH-ISLAND; NEW-ZEALAND; TETHYAN; PACIFIC; MIDDLE; CALIFORNIA; OREGON; OCEAN</t>
  </si>
  <si>
    <t>Radiolarian faunas from the type section of the mostly Late Jurassic Ameghino Formation (= Nordenskjold Formation) on the Antarctic Peninsula (Longing Gap, northern Graham Land) are described taxonomically, analyzed stratigraphically and interpreted paleoecologically, based on quantitative observations. Three hundred and fifty-nine species have been discovered in total; some two hundred of them are probably new. Twenty-eight new species and three new subspecies are described. The most abundant and characteristic species are used to present a regional radiolarian stratigraphy. The radiolarian faunas show distinct high-latitude characteristics. They are demarcated by high abundances of Parvicingula s.l. and spongy spumellarians, whereas Tethyan taxa like Mirifusus, Ristola, Tethysetta, Tritrabs, Syringocapsidae, Spongocapsulidae, and Xitidae are absent or very rare. The average diversity is high, but significantly lower than in coeval Tethyan samples. Cluster analysis reveals a major change in faunal composition near the early-late Tithonian boundary. The characterisitics of the Antarctic radiolarian faunas allow an Austral Province to be defined extending from circum-Antarctica to northeast Australia. The Austral radiolarian province is similar to the Northern Tethys and Southern Boreal Provinces sensu Pessagno and Blome (1986), but exhibits some differences. The new data allow the biogeographic scheme of Pessagno and Blome (1986) to be revised and permit the introduction of a preliminary global paleobiogeographic map for the Tithonian.</t>
  </si>
  <si>
    <t>Inst Paleontol, D-91054 Erlangen, Germany</t>
  </si>
  <si>
    <t>University of Erlangen Nuremberg</t>
  </si>
  <si>
    <t>Kiessling, W (corresponding author), Inst Paleontol, Loewenichstr 28, D-91054 Erlangen, Germany.</t>
  </si>
  <si>
    <t>Kiessling, Wolfgang/E-2259-2015</t>
  </si>
  <si>
    <t>Kiessling, Wolfgang/0000-0002-1088-2014</t>
  </si>
  <si>
    <t>MICROPALEONTOLOGY PRESS</t>
  </si>
  <si>
    <t>256 FIFTH AVE, NEW YORK, NY 10001 USA</t>
  </si>
  <si>
    <t>0026-2803</t>
  </si>
  <si>
    <t>Micropaleontology</t>
  </si>
  <si>
    <t>10.2307/1486097</t>
  </si>
  <si>
    <t>Paleontology</t>
  </si>
  <si>
    <t>198CK</t>
  </si>
  <si>
    <t>WOS:000080404200001</t>
  </si>
  <si>
    <t>Hoch, M</t>
  </si>
  <si>
    <t>Geochemistry and petrology of ultramafic lamprophyres from Schirmacher Oasis, East Antarctica</t>
  </si>
  <si>
    <t>MINERALOGY AND PETROLOGY</t>
  </si>
  <si>
    <t>CALC-ALKALINE LAMPROPHYRES; TRACE-ELEMENT; WESTERN-AUSTRALIA; CONTINENTAL-CRUST; SUPERIOR PROVINCE; MANTLE ORIGIN; PB ISOTOPE; ND; SR; ROCKS</t>
  </si>
  <si>
    <t>Petrographic and geochemical data are presented for some ouachitites from the Schirmacher Oasis. The studied dike intruded into the metamorphic basement of the East Antarctic craton. The ouachitite samples contain substantial amounts of zoned phlogopite and diopsidic to salitic pyroxene as phenocrysts. K-rich nepheline is the predominant phase of the matrix. The rocks are characterized by low SiO2 concentrations (up to 36.5 wt.%), low mg# and high abundances of Al2O3, alkalis and volatiles. Trace element compositions of the Schirmacher ouachitites differ from those of ultramafic lamprophyres from other regions in that they contain significantly lower Cr and Ni concentrations and relatively low enrichments in LILE and LREE. The studied rocks have low Nd-143/Nd-144 and enhanced Sr-87/Sr-86 ratios. Pb isotope compositions of the ouachitites closely resemble those of MORE. The delta(18)O values range between 4. 1 and 4.7 parts per thousand which may be due to interactions with meteoric water. Because the Schirmacher ouachitites are only represented by a few samples it is impossible to discuss the petrogenesis of this magma. However, according to trace element and isotopic characteristics, it can be ruled out that Schirmacher ouachitites and associated minettes (documented in Hoch, 1997; Hoch and Tobschall, 1998) were derived from the same mantle reservoir.</t>
  </si>
  <si>
    <t>Univ Erlangen Nurnberg, Inst Geol &amp; Mineral, D-91054 Erlangen, Germany</t>
  </si>
  <si>
    <t>Hoch, M (corresponding author), Univ Erlangen Nurnberg, Inst Geol &amp; Mineral, Schlossgarten 5, D-91054 Erlangen, Germany.</t>
  </si>
  <si>
    <t>0930-0708</t>
  </si>
  <si>
    <t>MINER PETROL</t>
  </si>
  <si>
    <t>Mineral. Petrol.</t>
  </si>
  <si>
    <t>10.1007/BF01161576</t>
  </si>
  <si>
    <t>Geochemistry &amp; Geophysics; Mineralogy</t>
  </si>
  <si>
    <t>189DM</t>
  </si>
  <si>
    <t>WOS:000079888900003</t>
  </si>
  <si>
    <t>Haynes, P</t>
  </si>
  <si>
    <t>Chate, H; Villermaux, E; Chomaz, JM</t>
  </si>
  <si>
    <t>Transport, stirring, and mixing in the atmosphere</t>
  </si>
  <si>
    <t>MIXING: CHAOS AND TURBULENCE</t>
  </si>
  <si>
    <t>NATO ADVANCED SCIENCE INSTITUTES SERIES, SERIES B, PHYSICS</t>
  </si>
  <si>
    <t>NATO Advanced Study Institute Conference on Mixing - Chaos and Turbulence</t>
  </si>
  <si>
    <t>JUL 07-20, 1996</t>
  </si>
  <si>
    <t>CARGESE, FRANCE</t>
  </si>
  <si>
    <t>STRATOSPHERIC POLAR VORTEX; BREAKING PLANETARY-WAVES; GENERAL-CIRCULATION; ROSSBY WAVES; INCOMPRESSIBLE FLOWS; CHAOTIC ADVECTION; MIDDLE ATMOSPHERE; DATA ASSIMILATION; ANTARCTIC VORTEX; TRACER TRANSPORT</t>
  </si>
  <si>
    <t>Univ Cambridge, Dept Appl Math &amp; Theoret Phys, Ctr Atmospher Sci, Cambridge CB3 9EW, England</t>
  </si>
  <si>
    <t>Haynes, P (corresponding author), Univ Cambridge, Dept Appl Math &amp; Theoret Phys, Ctr Atmospher Sci, Silver St, Cambridge CB3 9EW, England.</t>
  </si>
  <si>
    <t>KLUWER ACADEMIC/PLENUM PUBL</t>
  </si>
  <si>
    <t>0258-1221</t>
  </si>
  <si>
    <t>0-306-46195-1</t>
  </si>
  <si>
    <t>NATO ADV SCI I B-PHY</t>
  </si>
  <si>
    <t>Geochemistry &amp; Geophysics; Mechanics; Physics, Multidisciplinary</t>
  </si>
  <si>
    <t>Geochemistry &amp; Geophysics; Mechanics; Physics</t>
  </si>
  <si>
    <t>BP04M</t>
  </si>
  <si>
    <t>WOS:000083967900009</t>
  </si>
  <si>
    <t>Adcock, GJ; Carvalho, GR; Rodhouse, PG; Shaw, PW</t>
  </si>
  <si>
    <t>Highly polymorphic microsatellite loci of the heavily fished squid genus Illex (Ommastrephidae)</t>
  </si>
  <si>
    <t>MOLECULAR ECOLOGY</t>
  </si>
  <si>
    <t>Cephalopoda; Illex; microsatellite; population genetics; primer; squid</t>
  </si>
  <si>
    <t>Univ Hull, Dept Sci Biol, Mol Ecol &amp; Fisheries Genet Lab, Hull HU6 7RX, N Humberside, England; British Antarctic Survey, Cambridge CB3 0ET, England</t>
  </si>
  <si>
    <t>Adcock, GJ (corresponding author), Univ Hull, Dept Sci Biol, Mol Ecol &amp; Fisheries Genet Lab, Hull HU6 7RX, N Humberside, England.</t>
  </si>
  <si>
    <t>0962-1083</t>
  </si>
  <si>
    <t>MOL ECOL</t>
  </si>
  <si>
    <t>Mol. Ecol.</t>
  </si>
  <si>
    <t>Biochemistry &amp; Molecular Biology; Ecology; Evolutionary Biology</t>
  </si>
  <si>
    <t>Biochemistry &amp; Molecular Biology; Environmental Sciences &amp; Ecology; Evolutionary Biology</t>
  </si>
  <si>
    <t>161BX</t>
  </si>
  <si>
    <t>WOS:000078269200022</t>
  </si>
  <si>
    <t>Corte, AM; Liotta, M</t>
  </si>
  <si>
    <t>Penicillium donkii in Antarctic pond</t>
  </si>
  <si>
    <t>MYCOTAXON</t>
  </si>
  <si>
    <t>Penicillium donkii; Antarctica</t>
  </si>
  <si>
    <t>Penicillium donkii Stork MULC 39880 was isolated from sample of mud collected from Gondwana Lake, Antarctica. This strain, like the type species isolated from soil in Alaska, produces soft, reddish brown, sclerotia.</t>
  </si>
  <si>
    <t>Ist Bot Hanbury, I-16136 Genoa, Italy</t>
  </si>
  <si>
    <t>Corte, AM (corresponding author), Ist Bot Hanbury, Corso Dogali 1C, I-16136 Genoa, Italy.</t>
  </si>
  <si>
    <t>MYCOTAXON LTD</t>
  </si>
  <si>
    <t>ITHACA</t>
  </si>
  <si>
    <t>PO BOX 264, ITHACA, NY 14851-0264 USA</t>
  </si>
  <si>
    <t>0093-4666</t>
  </si>
  <si>
    <t>Mycotaxon</t>
  </si>
  <si>
    <t>Mycology</t>
  </si>
  <si>
    <t>174WK</t>
  </si>
  <si>
    <t>WOS:000079059200009</t>
  </si>
  <si>
    <t>Nicholls, VJ; Rapson, GL</t>
  </si>
  <si>
    <t>Biomass allocation in subantarctic island megaherbs, Pleurophyllum speciosum (Asteraceae) and Anisotome latifolia (Apiaceae)</t>
  </si>
  <si>
    <t>NEW ZEALAND JOURNAL OF ECOLOGY</t>
  </si>
  <si>
    <t>megaherb; subantarctic; Southern Ocean; island; allocation; phenology; strategy; leaf : stem ratio</t>
  </si>
  <si>
    <t>ANTARCTIC CAMPBELL ISLAND; GIANT ROSETTE PLANT; NEW-ZEALAND; HERBACEOUS PERENNIALS; RESOURCE-ALLOCATION; ENERGY ALLOCATION; PATTERNS; VEGETATION; BALANCE; GROWTH</t>
  </si>
  <si>
    <t>We analysed biomass allocation of Pleurophyllum speciosum (Asteraceae) and Anisotome latifolia (Apiaceae) to explore the 'megaherb' phenomenon, the apparent importance of large-leaved, colourful forbs on southern oceanic offshore islands. The two species had similar shoot dry weights, with high leaf:stem ratios. Even within the megaherb form there are differences in shoot allocations, with Pleurophyllum investing more biomass in rhizome than foliage, compared with Anisotome. The megaherb form might be attributable to responses to the physical environment, involving the pre-emption of resources such as light, nutrients, water, or space; alternatively it may be related to the paucity of woody species at this latitude.</t>
  </si>
  <si>
    <t>Massey Univ, Nat Resources Inst, Palmerston North, New Zealand</t>
  </si>
  <si>
    <t>Massey University</t>
  </si>
  <si>
    <t>Nicholls, VJ (corresponding author), Massey Univ, Nat Resources Inst, Palmerston North, New Zealand.</t>
  </si>
  <si>
    <t>V.J.Nicholls@massey.ac.nz</t>
  </si>
  <si>
    <t>NEW ZEALAND ECOL SOC</t>
  </si>
  <si>
    <t>CHRISTCHURCH</t>
  </si>
  <si>
    <t>PO BOX 25178, CHRISTCHURCH, NEW ZEALAND</t>
  </si>
  <si>
    <t>0110-6465</t>
  </si>
  <si>
    <t>1177-7788</t>
  </si>
  <si>
    <t>NEW ZEAL J ECOL</t>
  </si>
  <si>
    <t>N. Z. J. Ecol.</t>
  </si>
  <si>
    <t>210WQ</t>
  </si>
  <si>
    <t>WOS:000081128000011</t>
  </si>
  <si>
    <t>Dutta, PK</t>
  </si>
  <si>
    <t>Baaklini, GY; Lebowitz, CA; Boltz, ES</t>
  </si>
  <si>
    <t>Thermographic evaluation of window structures for Antarctic environment</t>
  </si>
  <si>
    <t>NONDESTRUCTIVE EVALUATION OF AGING MATERIALS AND COMPOSITES III</t>
  </si>
  <si>
    <t>Conference on Nondestructive Evaluation of Aging Materials and Composites III</t>
  </si>
  <si>
    <t>MAR 03-05, 1999</t>
  </si>
  <si>
    <t>NEWPORT BEACH, CA</t>
  </si>
  <si>
    <t>cold; low temperature; window; insulation; antarctic; arctic; thermal cycling; aging; building; South Pole</t>
  </si>
  <si>
    <t>This study evaluates the performance of three different prototype commercial windows at extremely low temperature by exposing them to an environment similar to the condition in the US South Pole Station building in the Antarctica. While the interior of the building will have a temperature of 24 degrees C, the outside temperature will vary from -70 degrees C to about -5 degrees C on a sunny day. The differential expansion or contraction of the component materials may produce unacceptably high stresses, which may cause either the failure of the components, or degradation of performance over time. This investigation was an effort to assess such degradation, if any. Simultaneous evaluation tests were performed on four windows, two from one manufacturer, and one each from two other manufacturers.</t>
  </si>
  <si>
    <t>Dutta, PK (corresponding author), USA, Cold Reg Res &amp; Engn Lab, 72 Lyme Rd, Hanover, NH 03755 USA.</t>
  </si>
  <si>
    <t>0-8194-3055-2</t>
  </si>
  <si>
    <t>Materials Science, Characterization &amp; Testing; Optics</t>
  </si>
  <si>
    <t>Materials Science; Optics</t>
  </si>
  <si>
    <t>BM82E</t>
  </si>
  <si>
    <t>WOS:000079846400008</t>
  </si>
  <si>
    <t>Gulden, G; Vesterholt, J</t>
  </si>
  <si>
    <t>The genera Galerina and Phaeogalera (Basidiomycetes, Agaricales) on the Faroe Islands</t>
  </si>
  <si>
    <t>NORDIC JOURNAL OF BOTANY</t>
  </si>
  <si>
    <t>The diversity of the genera Galerina and Phaeogalera on the Faroe Islands is recorded. Eighteen species are recognised, twelve of which are here reported for the first time on the archipelago. A key to the species is provided. A certain affinity is shown to the arctic-alpine Galerina flora, especially by species occurring at higher altitudes on the Faroes. All the Faroese species grow on the North American continent as well, and many probably have a circumglobal distribution in the Northern Hemisphere. Some occur also on the Southern Hemisphere, some as far south as in Subantarctic-Antarctic regions. Naucoria macrospora J. E. Lange var. borealis E H. Moller is synonymized with G. pseudotundrae Kuhner.</t>
  </si>
  <si>
    <t>Bot Museum, N-0562 Oslo, Norway; Bot Museum, DK-1123 Copenhagen K, Denmark</t>
  </si>
  <si>
    <t>COPENHAGEN K</t>
  </si>
  <si>
    <t>THE SECRETARY BOTANICAL MUSEUM GOTHERSGADE 130, DK-1123 COPENHAGEN K, DENMARK</t>
  </si>
  <si>
    <t>0107-055X</t>
  </si>
  <si>
    <t>NORD J BOT</t>
  </si>
  <si>
    <t>Nord. J. Bot.</t>
  </si>
  <si>
    <t>10.1111/j.1756-1051.1999.tb00679.x</t>
  </si>
  <si>
    <t>289AP</t>
  </si>
  <si>
    <t>WOS:000085597400006</t>
  </si>
  <si>
    <t>Sancho, LG; Schulz, F; Schroeter, B; Kappen, L</t>
  </si>
  <si>
    <t>Bryophyte and lichen flora of South Bay (Livingston Island: South Shetland Islands, Antarctica)</t>
  </si>
  <si>
    <t>NOVA HEDWIGIA</t>
  </si>
  <si>
    <t>CARBON-DIOXIDE EXCHANGE; CONTINENTAL ANTARCTICA; VICTORIA-LAND; GENUS UMBILICARIA; WILKES-LAND; KAR PLATEAU; VEGETATION; CALOPLACA; DITRICHACEAE; BRYOPSIDA</t>
  </si>
  <si>
    <t>One hundred and ten lichen and fifty bryophyte species are reported from the vicinity of the Spanish Antarctic research station Juan Carlos I. (BAE; Livingston Island, South Shetland Islands). The study site consists of an ice-free area of around 3 km(2) on the southern coast of South Bay. Considering its small extent this area has a remarkably large biodiversity. The present catalogue is the largest so far reported for any single Antarctic locality. For some lichen genera such as Caloplaca, Cladonia and Umbilicaria, this part of Livingston Island probably has the highest species diversity of any site in the Antarctic region. We found very different phytogeographic patterns for lichens and bryophytes. Whereas 21% of the lichen species are endemic, only 10% of the bryophyte species have an exclusively Antarctic distribution. In contrast, bryophytes with a Southern Hemisphere distribution contribute 31% to the bryophyte flora, while only 10% of the studied lichens have this pattern of distribution. Ecology, distribution and taxonomic status of some of the recorded species are also briefly discussed.</t>
  </si>
  <si>
    <t>Univ Complutense, Fac Farm, Dpto Biol Vegetal 2, E-28040 Madrid, Spain; Inst Polarokol, D-24148 Kiel, Germany; Univ Kiel, Inst Bot, D-24098 Kiel, Germany</t>
  </si>
  <si>
    <t>Complutense University of Madrid; University of Kiel</t>
  </si>
  <si>
    <t>Sancho, LG (corresponding author), Univ Complutense, Fac Farm, Dpto Biol Vegetal 2, E-28040 Madrid, Spain.</t>
  </si>
  <si>
    <t>Sancho, leopoldo G./H-2974-2013; Verkhovtsev, Alexey V/E-4625-2014; SANCHO, LEOPOLDO/G-9120-2015</t>
  </si>
  <si>
    <t>SANCHO, LEOPOLDO/0000-0002-4751-7475</t>
  </si>
  <si>
    <t>GEBRUDER BORNTRAEGER</t>
  </si>
  <si>
    <t>STUTTGART</t>
  </si>
  <si>
    <t>JOHANNESSTR 3A, D-70176 STUTTGART, GERMANY</t>
  </si>
  <si>
    <t>0029-5035</t>
  </si>
  <si>
    <t>Nova Hedwigia</t>
  </si>
  <si>
    <t>208PK</t>
  </si>
  <si>
    <t>WOS:000081000100003</t>
  </si>
  <si>
    <t>Wadhams, P; Parmiggiani, F; de Carolis, G; Tadross, M</t>
  </si>
  <si>
    <t>Spezie, G; Manzella, GMR</t>
  </si>
  <si>
    <t>Mapping the thickness of pancake ice using ocean wave dispersion in SAR imagery</t>
  </si>
  <si>
    <t>OCEANOGRAPHY OF THE ROSS SEA: ANTARACTICA</t>
  </si>
  <si>
    <t>International Conference on the Oceanography of the Ross Sea</t>
  </si>
  <si>
    <t>MAR, 1997</t>
  </si>
  <si>
    <t>LERICI, ITALY</t>
  </si>
  <si>
    <t>SYNTHETIC-APERTURE RADAR; GREASE ICE; FIELD</t>
  </si>
  <si>
    <t>During the early to midwinter period pancake ice is a major component of the Antarctic sea ice cover, occupying a belt extending 200-300 km from the outer ice edge with an area of about 6 million km(2). Experience in the Arctic suggests that the sea ice thickness in this region can be mapped by monitoring the penetration of ocean waves into it. Spectral analysis of subscenes from ERS-2 synthetic aperture radar (SAR) images yields the wavelength and direction of the principal spectral component both outside and inside the ice cover. There is a change of wavelength at the ice edge associated with a change in the wave dispersion, which can be quantitatively related to the thickness of the ice. The analysis is complex because the true wave spectrum must be retrieved from the SAR spectrum, which involves an inversion technique requiring a first-guess spectrum. The analysis technique is described, and the wave theory which predicts the change in wavelength. Experience in the Chukchi Sea and especially in the Odden ice tongue in the Greenland Sea is reviewed. Preliminary data from the Ross Sea have been analysed, yielding principal wave components, but the ambient wavelength was too long for the effect of ice to be detectable. The next application will be to the outer ice edge, when midwinter data from this region are available at the end of the current season.</t>
  </si>
  <si>
    <t>Wadhams, P (corresponding author), Univ Cambridge, Scott Polar Res Inst, Cambridge CB2 1ER, England.</t>
  </si>
  <si>
    <t>De+Carolis, Giacomo/AAW-8826-2020</t>
  </si>
  <si>
    <t>De+Carolis, Giacomo/0000-0002-0523-9446; Tadross, Mark/0000-0002-7018-404X</t>
  </si>
  <si>
    <t>SPRINGER-VERLAG ITALIA</t>
  </si>
  <si>
    <t>MILAN</t>
  </si>
  <si>
    <t>MILAN, ITALY</t>
  </si>
  <si>
    <t>88-470-0039-4</t>
  </si>
  <si>
    <t>BP59V</t>
  </si>
  <si>
    <t>WOS:000085615900002</t>
  </si>
  <si>
    <t>Zambianchi, E; Budillon, G; Falco, P; Spezie, G</t>
  </si>
  <si>
    <t>Observations of the dynamics of the Antarctic Circumpolar Current in the Pacific sector of the Southern Ocean</t>
  </si>
  <si>
    <t>SURFACE CIRCULATION; DRAKE PASSAGE; DRIFTERS</t>
  </si>
  <si>
    <t>This paper describes long term measurements of the Antarctic Circumpolar Current carried out by means of surface and sub-surface drifters deployed as of the austral summer 1993-94, associated with XBT sections. At the surface, the velocity presents a gross zonal flow pattern, directed eastwards. The field is characterized by strong meridional shear and by a complex multiple jet structure, suggested in particular by the observations in the vicinity of the Antarctic-Pacific Ridge. The interaction with the bottom topography is seen to play a major role in shaping both the mean and the eddy fields, with a characteristic space lag which implies the presence of eddy-generating mechanisms in correspondence of major topographic features. Our subsurface float observations denote a strong vertical coupling in the velocity field. Velocities around 1000 m depth resemble those at the surface, with a scale factor of about 1/4 in magnitude. This vertical coherence is consistent with previous hydrographic analyses and with preliminary potential vorticity estimates drawn from our surface drifters data.</t>
  </si>
  <si>
    <t>Univ Naples, Ist Meterol &amp; Oceanog, Ist Navale, I-80133 Naples, Italy</t>
  </si>
  <si>
    <t>University of Naples Federico II</t>
  </si>
  <si>
    <t>Zambianchi, E (corresponding author), Univ Naples, Ist Meterol &amp; Oceanog, Ist Navale, Via Acton 38, I-80133 Naples, Italy.</t>
  </si>
  <si>
    <t>zambianchi, enrico/KGK-8209-2024</t>
  </si>
  <si>
    <t>zambianchi, enrico/0000-0001-5474-7466</t>
  </si>
  <si>
    <t>WOS:000085615900003</t>
  </si>
  <si>
    <t>Simone, A; Zoffoli, S; Iudicone, D; Santoleri, R; Marullo, S</t>
  </si>
  <si>
    <t>Altimeter data analysis of the Antarctic Circumpolar Current</t>
  </si>
  <si>
    <t>EDDY MOMENTUM FLUX; SOUTHERN-OCEAN; TOPEX/POSEIDON; CIRCULATION</t>
  </si>
  <si>
    <t>The first two years of TOPEX/POSEIDON altimeter measurements of the Southern Ocean, between 30 degrees S and 65 degrees S were analyzed in order two study the mesoscale characteristics of the basin. Objective maps of sea level anomalies were computed for each cycle, showing synoptic view of the mesoscale activity of the study area. These maps underlined a population of mesoscale eddies, with a typical diameter of 100 divided by 200 Km in the sector 10 degrees divided by 50 degrees E and 30 degrees divided by 60 degrees W,possibly shed from the meanders of the Antarctic Circumpolar Current. The rings seem to move southward confined to a rather narrow corridor (about 400Km). Sea level variability maps were computed to characterize the mesoscale activity in the study area. The highest values of more 25 cm are found between 10 degrees divided by 60 degrees E and near 50 degrees W at a latitude of 40 degrees divided by 50 degrees S. A high variability area extends to at least 60 degrees divided by 65 degrees S. The TOPEX/POSEIDON cross-over data were used to resolve both magnitude and direction of residual geostrophic velocities. The time series are then used to determine surface eddy statistics in the Southern Ocean, hence the spatial distribution in the surface Reynolds stresses (u'(2), v'(2), u'v'). According with the information available so far, we found that the complex spatial distribution of surface eddy momentum flux is strongly influenced by bottom topography and the position of the mean current.</t>
  </si>
  <si>
    <t>CNR, Ist Fis Atmosfera, I-00144 Rome, Italy</t>
  </si>
  <si>
    <t>Consiglio Nazionale delle Ricerche (CNR)</t>
  </si>
  <si>
    <t>CNR, Ist Fis Atmosfera, I-00144 Rome, Italy.</t>
  </si>
  <si>
    <t>Santoleri, Rosalia/JNT-1470-2023; Marullo, Salvatore/GLV-5804-2022; Iudicone, Daniele/B-9008-2008</t>
  </si>
  <si>
    <t>WOS:000085615900004</t>
  </si>
  <si>
    <t>Russo, A; Artegiani, A; Budillon, G; Paschini, E; Spezie, G</t>
  </si>
  <si>
    <t>Upper ocean thermal structure and fronts between New Zealand and the Ross Sea (Austral summer 1994-1995 and 1995-1996)</t>
  </si>
  <si>
    <t>TASMANIA</t>
  </si>
  <si>
    <t>This paper describes the upper ocean thermal structure between New Zealand and the Ross Sea, and its evolution from the austral spring to summer 1994-95 on the basis of four high resolution XBT sections, and during the summer 1995-96 with two high resolution XBT sections. The area of investigation is almost completely (with the exception of the southernmost part) interested by the Antarctic Circumpolar Current (ACC). The main fronts (SubAntarctic Front, Polar Front and southern front) included in the ACC are individuated, and a new front, supposed to derive from a splitting of the SAF in a Northern SAF (NSAF) and a Southern SAF (SSAF), is identified. The NSAF is always located at the end of the Campbell Plateau, on the continental slope, and the SSAF is located around 58 degrees S, with the exception of the December 1994-January 1995 cruises. Going from spring to the end of the austral summer, the PF appears to retreat from north to south, while the southern front shows a stable position on the northern flanks of the Pacific-Antarctic and Southeast Indian Ridges. The thermal structure of the six sections reveals the presence of intense mesoscale dynamics, with cold nuclea of Antarctic Surface Water (AASW) detached from the PF and noticed up to 1000 km north of it.</t>
  </si>
  <si>
    <t>CNR, Ist Ric Pesca Marittima, Ancona, Italy</t>
  </si>
  <si>
    <t>Russo, A (corresponding author), CNR, Ist Ric Pesca Marittima, Ancona, Italy.</t>
  </si>
  <si>
    <t>WOS:000085615900005</t>
  </si>
  <si>
    <t>Gouretski, V</t>
  </si>
  <si>
    <t>The large-scale thermohaline structure of the Ross Gyre</t>
  </si>
  <si>
    <t>ANTARCTIC CIRCUMPOLAR CURRENT; WEDDELL GYRE; ICE SHELF; CIRCULATION; OCEAN; PACIFIC; WATER</t>
  </si>
  <si>
    <t>This study describes the large-scale thermohaline structure and circulation patterns of the Ross Gyre and is based on a quality controlled data set including about 7,000 historical and modern hydrographic stations. A new regional climatology was obtained through the objective analysys of the data on neutral surfaces. Steric height anomaly maps portray Ross Gyre as a depression south of the mid-ocean ridge between about 170 degrees E and 140 degrees W. The centre of the gyre shifts with depth from about 68 degrees S 164 degrees W in near surface levels to about 63oS 150oW at 1500 meters. Maximum estimate of the geostrophic transport within the gyre is 8.5 Sv near 150 degrees W, a factor of three lower than corresponding estimates for the Weddell Gyre. Data from a quasi-synoptic survey made by three former U.S.S.R vessels in 1985-86 are used for a more detailed description of the gyre's northern, eastern and southern boundaries. Similar to the Weddell Gyre the location of the eastern boundary is controlled by the southward extension of the Antarctic Circumpolar Current core flowing through the Udintsev Fracture Zone with the geostrophic transport of 56 Sv. The Circumpolar Deep Water spreads westwards along the southern limb of the gyre with potential temperatures still as high as 1.6 degrees C at 75 degrees S, 150 degrees W.</t>
  </si>
  <si>
    <t>Max Planck Inst Meteorol &amp; Bundesamt Seeschiffahr, WHP Special Anal Ctr, D-20359 Hamburg, Germany</t>
  </si>
  <si>
    <t>Gouretski, V (corresponding author), Max Planck Inst Meteorol &amp; Bundesamt Seeschiffahr, WHP Special Anal Ctr, Bernhard Nocht Str 78, D-20359 Hamburg, Germany.</t>
  </si>
  <si>
    <t>WOS:000085615900006</t>
  </si>
  <si>
    <t>Picco, P; Amici, L; Meloni, R; Langone, L; Ravaioli, M</t>
  </si>
  <si>
    <t>Temporal variability of currents in the Ross Sea (Antarctica)</t>
  </si>
  <si>
    <t>Some results from the analysis of ab out one year long time series of currents, temperature and salinity data collected in the central-western part of the Ross Sea during 1995 are here presented. Temporal evolution and seasonal variability of currents at intermediate and deep layers in different locations are described. The role of surface seasonal processes and of the advection of different water masses on temperature and salinity variations is investigated. Spectral analysis, focusing on low frequency oscillations, evidences that kinetic energy is mainly concentrated on mesoscale phenomena time scale at which barotropic movements prevail. At higher frequencies, the tidal component strongly dominates, while the inertial oscillation, whose frequency is the same band, is less important. The ice formation and melting processes affect also the intermediate level as evidenced in temperature and salinity time series, but do not seem to modify significantly the circulation in this layer. Apart from a weakeness in kinetic energy observed in most of the locations from late April to early lune, the general circulation does not present an important seasonal variability, suggesting that the open ocean Antarctic Circumpolar Current acts as a prevailing forcing with respect to the thermoaline forcings.</t>
  </si>
  <si>
    <t>ENEA, CRAM, I-19100 La Spezia, Italy</t>
  </si>
  <si>
    <t>Picco, P (corresponding author), ENEA, CRAM, POB 316, I-19100 La Spezia, Italy.</t>
  </si>
  <si>
    <t>, leonardo.langone@ismar.cnr.it/D-8139-2011</t>
  </si>
  <si>
    <t>WOS:000085615900007</t>
  </si>
  <si>
    <t>Bergamasco, A; Carniel, S; Valeri, LC</t>
  </si>
  <si>
    <t>Reconstructing the general circulation of the Ross Sea (Antarctica) using a robust diagnostic model</t>
  </si>
  <si>
    <t>SHELF</t>
  </si>
  <si>
    <t>A robust-diagnostic numerical model for the general circulation of the Ross Sea is presented. The model is forced by open boundary velocities and wind field, while temperature and salinity values have been objectively analyzed from data acquired during the X-th Italian expedition in Antarctic. Even if model assumptions could be improved (e.g. enhance the description of the sea-ice interaction, use available wind time series and updated topography), comparisons between current meters moorings data averages and reconstructed fields shows that temperature, salinity and velocity fields obtained are in good agreement with experimental observations and theoretical studies, even if velocity modules have been under estimated.</t>
  </si>
  <si>
    <t>CNR, ISDGM, I-30125 Venice, Italy</t>
  </si>
  <si>
    <t>Bergamasco, A (corresponding author), CNR, ISDGM, San Polo 1364, I-30125 Venice, Italy.</t>
  </si>
  <si>
    <t>Carniel, Sandro/J-9278-2012</t>
  </si>
  <si>
    <t>WOS:000085615900008</t>
  </si>
  <si>
    <t>Commodari, V; Pierini, S</t>
  </si>
  <si>
    <t>A wind and boundary driven circulation model of the Ross Sea</t>
  </si>
  <si>
    <t>The application of a barotropic primitive equation model to the Ross Sea has allowed to determine the main features of the vertically integrated transport as induced locally by the wind and forced by the external action of the East Wind Drift during the ice-free season. Furthermore, the implementation of the same model with higher resolution to a coastal area including Terra Nova Bay has provided information on the local circulation regime. The circulation model of the Ross Sea is implemented in a domain including the Ross Sea and an external zone which allows for the formation of the Ross Sea gyre. A regular grid of 20 km resolution is defined on a adapted Gauss-Boaga projection which reduces notably the deformation of the distances. The model is first forced by an idealized wind system representing schematically the local atmospheric circulation on a global scale and the runs are carried out up to the steady state. The Ross Sea gyre and an overall cyclonic circulation in the interior of the Ross Sea locally shaped by the topography are observed. On the other hand, the response inside the Ross Sea to the remote effect of a boundary forcing given by the Antarctic Circumpolar Current and of the East Wind Drift in the absence of winds is found to be very weak. This puts in evidence that the wind is by far the most energetic forcing of the local barotropic circulation. These numerical results are found to be in good agreement with classical observational data and with current meter measurements taken within the Italian P.N.R.A.. The model is then applied to a coastal zone around Terra nova Bay with a 2 km resolution. This model is forced by an idealized wind and nested with the coarse resolution model of the Ross Sea. Information are thus obtained on the local circulation.</t>
  </si>
  <si>
    <t>Univ Naples, Ist Meteorol &amp; Oceanog, Ist Navale, I-80133 Naples, Italy</t>
  </si>
  <si>
    <t>Commodari, V (corresponding author), Univ Naples, Ist Meteorol &amp; Oceanog, Ist Navale, Via Amm Acton 38, I-80133 Naples, Italy.</t>
  </si>
  <si>
    <t>WOS:000085615900009</t>
  </si>
  <si>
    <t>Tucci, S; Ferrari, M; Capello, M</t>
  </si>
  <si>
    <t>Actual sedimentation on the Antarctic continental shelf (Southern part of the Ross Sea)</t>
  </si>
  <si>
    <t>ATLANTIC</t>
  </si>
  <si>
    <t>During the austral summer 1994-95 the C.L.I.M.A. Project carried out an oceanographic cruise aimed at improving the caracterization of water masses inside the Ross Sea. A series of 154 CTD casts was performed and water samples were collected to study particulate matter, concentration data and dimensional analyses of particulate matter were correlated with physical characteristics. In the area of the Ross Ice Shelf high concentrations of particulate matter seem to coincide with the caracteristics of Deep Ice Shelf Waters and Warm Core Waters. The relationship between water masses and characteristics of particulate matter have enabled us to use this one as a natural tracer to identify flow pathways; results have also allowed to define a general hypothesis on actual sedimentation during the austral summer in the proximity of the RIS and at the edge of the continental shelf.</t>
  </si>
  <si>
    <t>Univ Genoa, Dipartimento Sci Terra, I-16132 Genoa, Italy</t>
  </si>
  <si>
    <t>University of Genoa</t>
  </si>
  <si>
    <t>Univ Genoa, Dipartimento Sci Terra, Corso Europa 26, I-16132 Genoa, Italy.</t>
  </si>
  <si>
    <t>Ferrari, Marco/J-7433-2016</t>
  </si>
  <si>
    <t>Ferrari, Marco/0000-0001-7009-6552</t>
  </si>
  <si>
    <t>WOS:000085615900013</t>
  </si>
  <si>
    <t>Ferrarese, S; Cassardo, C; Longhetto, A; Bertoni, D; Forza, R; Ficca, G; Pangia, M; Purini, R</t>
  </si>
  <si>
    <t>On the heat energy fluxes in the non-stationary surface boundary layer at Hells Gate, Terra Nova Bay (Antarctica)</t>
  </si>
  <si>
    <t>MESOSCALE</t>
  </si>
  <si>
    <t>Within the framework of scientific activities of the Italian Antarctic Expedition at Terra Nova Bay (74 degrees 41' 42S, 164 degrees 7' 23E) during the southern-summer of 1994-95, an uninterrupted three week programme of measurement of sensible and latent turbulent heat fluxes has been run at two locations, 5 km apart from each other, of Hells Gate ice shelf (inner mast: 74 degrees 50'8.3S, 163 degrees 44' 2.8E, 19.85 m a.s.l.; coastal mast: 74 degrees 52' 20.2S, 163 degrees 49' 6.4E, 12.47 m a.s.l.). The aim of the programme was to assess the transfer of heat energy (in particular, its latent component) at the air/ice interface as a function of different atmospheric forcings (wind, temperature, solar radiation) in order to describe the state and evolution of the thermal properties of the non stationary atmospheric boundary layer near the surface. To this end, a prognostic enthalpy balance model, whose input data was the information collected during the experimental programme, has been used to establish-the relative role prayed by the different terms concurring to the heat energy budget under different meteorological conditions, ranging from moderate breeze to strong katabatic wind episodes. The experiment involved the collaboration between teams from the Department of Physics, University of Torino and the Institute of Atmospheric Physics of National Research Council in Roma. This paper reviews the experimental and analytic methodologies and discusses the most meaningful results.</t>
  </si>
  <si>
    <t>Univ Turin, Dipartimento Fis Gen, Turin, Italy</t>
  </si>
  <si>
    <t>University of Turin</t>
  </si>
  <si>
    <t>Ferrarese, S (corresponding author), Univ Turin, Dipartimento Fis Gen, Turin, Italy.</t>
  </si>
  <si>
    <t>Cassardo, Claudio/JQR-6630-2023</t>
  </si>
  <si>
    <t>Cassardo, Claudio/0000-0001-5212-3211</t>
  </si>
  <si>
    <t>WOS:000085615900017</t>
  </si>
  <si>
    <t>Koshlyakov, MN; Tarakanov, RY</t>
  </si>
  <si>
    <t>Water masses of the Pacific Antarctic</t>
  </si>
  <si>
    <t>OKEANOLOGIYA</t>
  </si>
  <si>
    <t>Russian</t>
  </si>
  <si>
    <t>Water masses of the Pacific Antarctic are studied on the basis of CTD and water bottle data from the S4 WOCE section in the Pacific Ocean carried out along 67 degrees S in February-March, 1992. Temperature, salinity, oxygen, silicate and phosphate fields in the section are investigated. The boundary between any two water masses is determined as the position of the maximal magnitude of the gradients of physical or chemical water properties with respect to the water density. Mean and exstreme values of the physical and chemical parameters of water masses are determined. Some new results concerning the distribution and quantitative characteristics of the Pacific Antarctic water masses are obtained. In particular, the paths and details of the spreading of the Antarctic Bottom Water from the Ross Sea are analysed. No formation of any new bottom water in the Amundsen and Bellingshausen Seas was found.</t>
  </si>
  <si>
    <t>PP Shirshov Oceanol Inst, Moscow, Russia</t>
  </si>
  <si>
    <t>Russian Academy of Sciences; Shirshov Institute of Oceanology</t>
  </si>
  <si>
    <t>Koshlyakov, MN (corresponding author), PP Shirshov Oceanol Inst, Moscow, Russia.</t>
  </si>
  <si>
    <t>Tarakanov, Roman/R-3325-2016</t>
  </si>
  <si>
    <t>Tarakanov, Roman/0000-0002-8711-1859</t>
  </si>
  <si>
    <t>MEZHDUNARODNAYA KNIGA</t>
  </si>
  <si>
    <t>MOSCOW</t>
  </si>
  <si>
    <t>39 DIMITROVA UL., 113095 MOSCOW, RUSSIA</t>
  </si>
  <si>
    <t>0030-1574</t>
  </si>
  <si>
    <t>OKEANOLOGIYA+</t>
  </si>
  <si>
    <t>Okeanologiya</t>
  </si>
  <si>
    <t>186KV</t>
  </si>
  <si>
    <t>WOS:000079729200001</t>
  </si>
  <si>
    <t>Voronina, NM; Kolosova, EG</t>
  </si>
  <si>
    <t>Composition, distribution and temporary changes of abundance and structure of zooplankton under fast ice in the western Weddell Sea, compared with the open ocean zooplankton</t>
  </si>
  <si>
    <t>MCMURDO SOUND; ANTARCTICA; COMMUNITY</t>
  </si>
  <si>
    <t>The zooplankton was collected at the American-Russian ice-drift station in March-May, 1992, through the hole, located on a distance about 300 km from the ice edge. The vertical closing hauls with Juday net were made at 8 stations up to 1000 m. More than 100 taxa were identified. Their frequency and vertical distribution are described; the share of main species and groups in the total plankton abundance is estimated and changes with time of the total biomass are considered. All these characteristics are compared with those for the open ocean plankton based on the authors' data from the Weddell Sea and from literature. The under-ice zooplankton is an impoverished low-productive modification of the unite Antarctic pelagic community.</t>
  </si>
  <si>
    <t>PP Shirshov Oceanol Inst, Moscow, Russia; Moscow MV Lomonosov State Univ, Dept Biol, Moscow, Russia</t>
  </si>
  <si>
    <t>Russian Academy of Sciences; Shirshov Institute of Oceanology; Lomonosov Moscow State University</t>
  </si>
  <si>
    <t>Voronina, NM (corresponding author), PP Shirshov Oceanol Inst, Moscow, Russia.</t>
  </si>
  <si>
    <t>WOS:000079729200011</t>
  </si>
  <si>
    <t>Petritoli, A; Giovanelli, G; Bonafè, U; Bortoli, D; Kostadinov, I; Ravegnani, F</t>
  </si>
  <si>
    <t>Larar, AM</t>
  </si>
  <si>
    <t>An airborne UV and visible spectrometer for DOAS and radiometric measurements</t>
  </si>
  <si>
    <t>OPTICAL SPECTROSCOPIC TECHNIQUES AND INSTRUMENTATION FOR ATMOSPHERIC AND SPACE RESEARCH III</t>
  </si>
  <si>
    <t>3rd Optical Spectroscopic Techniques and Instrumentation for Atmospheric and Space Research</t>
  </si>
  <si>
    <t>JUL 19-21, 1999</t>
  </si>
  <si>
    <t>airborne; DOAS; spectrometer; radiometer; UV</t>
  </si>
  <si>
    <t>TOTAL OZONE TRENDS; SPECTROSCOPY</t>
  </si>
  <si>
    <t>A UV/Vis spectrometer (named GASCOD) for Differential Optical Absorption Spectroscopy (DOAS) has been developed at ISAO Institute and deployed for ground based measurements of stratospheric trace gases for several years at mid-latitudes and the Antarctic region. An airborne version, called GASCOD/A has been installed on board a M55-Geophysica airplane, a stratospheric research platform, capable of flying at an altitude of up to 20 Km. After a test campaign in Italy, the GASCOD/A performed successfully during the Airborne Polar Experiment in the winter 95/96. More recently, the instrument was upgraded to achieve higher sensitivity and reliability. Two additional radiometric channels were added. The input optics can turn in order to collect solar radiation from five different channels: one for detection of the zenith scattered radiation through the roof window (for DOAS measurement), two for direct and diffused radiation through two lateral windows and two for radiometric measurements through two 2 pi optical heads mounted on the upper and bottom part of the aircraft and linked to the instrument by means of optical guides. The radiometric channels give us the possibility of calculating the photodissociation rate coefficients (J-values) of photochemical reactions involving ozone and nitrogen dioxides. The mechanical and optical layout of the instrument are presented and discussed, as well as laboratory tests and preliminary results obtained during flights onboard the M55-Geophysica.</t>
  </si>
  <si>
    <t>CNR, ISAO, I-40129 Bologna, Italy</t>
  </si>
  <si>
    <t>Giovanelli, G (corresponding author), CNR, ISAO, Via Gobetti 101, I-40129 Bologna, Italy.</t>
  </si>
  <si>
    <t>Ravegnani, Fabrizio/AAM-5467-2021; Bortoli, Daniele/A-5489-2009; Ravegnani, Fabrizio/A-7800-2009</t>
  </si>
  <si>
    <t>Ravegnani, Fabrizio/0000-0003-0735-9297; Bortoli, Daniele/0000-0002-2334-4055; Ravegnani, Fabrizio/0000-0003-0735-9297</t>
  </si>
  <si>
    <t>0-8194-3242-3</t>
  </si>
  <si>
    <t>10.1117/12.366415</t>
  </si>
  <si>
    <t>Instruments &amp; Instrumentation; Meteorology &amp; Atmospheric Sciences; Remote Sensing; Optics</t>
  </si>
  <si>
    <t>BN97T</t>
  </si>
  <si>
    <t>WOS:000083736000057</t>
  </si>
  <si>
    <t>Johns, L; Wraige, EJ; Belt, ST; Lewis, CA; Massé, G; Robert, JM; Rowland, SJ</t>
  </si>
  <si>
    <t>Identification of a C25 highly branched isoprenoid (HBI) diene in Antarctic sediments, Antarctic sea-ice diatoms and cultured diatoms</t>
  </si>
  <si>
    <t>ORGANIC GEOCHEMISTRY</t>
  </si>
  <si>
    <t>HBI; alkenes; sea-ice diatom; Haslea ostrearia; Antarctic sediments; McMurdo sound; Bransfield Strait; isoprenoid</t>
  </si>
  <si>
    <t>HASLEA-OSTREARIA SIMONSEN; MARINE-SEDIMENTS; MASS-SPECTROMETRY; MCMURDO SOUND; SPRING BLOOM; HYDROCARBONS; COMMUNITIES; ALKENES; C25; DISTRIBUTIONS</t>
  </si>
  <si>
    <t>A highly branched isoprenoid (HBI) diene found in Antarctic sea-ice diatoms and surface layer (0-2 cm) sediments from Antarctica is identified as 2,10,14-trimethyl-6-methylene-7-(3'-methylpent-1-enyl)pentadecane. The identification was made by comparison of GC-MS mass spectra and retention indices on both polar and apolar GC stationary phases with those of the diene authenticated by NMR after isolation from a laboratory culture of the diatom, Haslea ostrearia. (C) 1999 Elsevier Science Ltd. All rights reserved.</t>
  </si>
  <si>
    <t>Univ Plymouth, Dept Environm Sci, Petr &amp; Environm Geochem Grp, Plymouth PL4 8AA, Devon, England; Univ Nantes, Fac Sci &amp; Tech, ISOMer, F-44027 Nantes 03, France</t>
  </si>
  <si>
    <t>University of Plymouth; Nantes Universite</t>
  </si>
  <si>
    <t>Rowland, SJ (corresponding author), Univ Plymouth, Dept Environm Sci, Petr &amp; Environm Geochem Grp, Drake Circus, Plymouth PL4 8AA, Devon, England.</t>
  </si>
  <si>
    <t>Rowland, Steven/JFK-4987-2023; Lewis, C. Anthony/A-4872-2016</t>
  </si>
  <si>
    <t>Lewis, C. Anthony/0000-0002-0524-2215</t>
  </si>
  <si>
    <t>0146-6380</t>
  </si>
  <si>
    <t>ORG GEOCHEM</t>
  </si>
  <si>
    <t>Org. Geochem.</t>
  </si>
  <si>
    <t>10.1016/S0146-6380(99)00112-6</t>
  </si>
  <si>
    <t>262CW</t>
  </si>
  <si>
    <t>WOS:000084048900009</t>
  </si>
  <si>
    <t>Gille, ST</t>
  </si>
  <si>
    <t>Evaluating Southern Ocean response to wind forcing</t>
  </si>
  <si>
    <t>PHYSICS AND CHEMISTRY OF THE EARTH PART A-SOLID EARTH AND GEODESY</t>
  </si>
  <si>
    <t>ANTARCTIC CIRCUMPOLAR CURRENT</t>
  </si>
  <si>
    <t>In order to investigate how the Antarctic Circumpolar Current (ACC) responds to changes in wind forcing, cross coherences are calculated between Southern Ocean winds and bottom pressure measurements from either side of Drake Passage. Wind stress and wind-stress curl are derived from the European Research Satellites (ERS) scatterometers, from the Special Sensor Microwave Imager (SSMI), and from the European Centre for Medium-Range Weather Forecasts (ECMWF) forecast model. Winds and bottom pressure measurements both show substantial variability on all resolved time scales. Statistically significant coherences occur over the full range of resolved frequencies for both wind stress and wind-stress curl. The largest number of statistically coherent frequencies occur between the bottom pressure at the south side of Drake Passage and wind stress. Phases are consistent with wind slightly leading bottom pressure, and strong winds driving strong transport. (C) 1999 Elsevier Science Ltd. All rights reserved.</t>
  </si>
  <si>
    <t>Univ E Anglia, Sch Environm Sci, Norwich NR4 7TJ, Norfolk, England</t>
  </si>
  <si>
    <t>University of East Anglia</t>
  </si>
  <si>
    <t>Gille, ST (corresponding author), Univ Calif Irvine, Dept Earth Syst Sci, Irvine, CA 92697 USA.</t>
  </si>
  <si>
    <t>Gille, Sarah T./B-3171-2012</t>
  </si>
  <si>
    <t>Gille, Sarah/0000-0001-9144-4368</t>
  </si>
  <si>
    <t>1464-1895</t>
  </si>
  <si>
    <t>PHYS CHEM EARTH PT A</t>
  </si>
  <si>
    <t>Phys. Chem. Earth Pt. A-Solid Earth Geod.</t>
  </si>
  <si>
    <t>10.1016/S1464-1895(99)00053-8</t>
  </si>
  <si>
    <t>234RD</t>
  </si>
  <si>
    <t>WOS:000082497400018</t>
  </si>
  <si>
    <t>Marcucci, MF; Orsini, S; Candidi, M; Storini, M</t>
  </si>
  <si>
    <t>Auroral activity and antarctic stratospheric ozone</t>
  </si>
  <si>
    <t>PHYSICS AND CHEMISTRY OF THE EARTH PART C-SOLAR-TERRESTIAL AND PLANETARY SCIENCE</t>
  </si>
  <si>
    <t>THERMOSPHERIC NITRIC-OXIDE; DEPLETION</t>
  </si>
  <si>
    <t>The AE geomagnetic index and data for high latitude southern hemisphere ozone from NIMBUS-7/TOMS (1979 - 1987 and 1990 spring times) have been used to study the possible relationship between magnetospheric phenomena (by the auroral activity mainly influencing the upper atmosphere at 70-100 km) and the stratospheric polar ozone variability. Results indicate a delayed positive correlation between enhanced auroral activity and total ozone depletion over Antarctica. This delay has been found to average at about 11 days. A possible interpretation of the mechanism at work is given involving the role of NO photochemistry in the polar ozone variability. (C) 1998 Elsevier Science Ltd. All rights reserved.</t>
  </si>
  <si>
    <t>CNR, Ist Fis Spazio Interplanetario, Area Ric Tor Vergata, I-00133 Rome, Italy</t>
  </si>
  <si>
    <t>Consiglio Nazionale delle Ricerche (CNR); University of Rome Tor Vergata; Istituto Nazionale Astrofisica (INAF)</t>
  </si>
  <si>
    <t>Marcucci, MF (corresponding author), CNR, Ist Fis Spazio Interplanetario, Area Ric Tor Vergata, I-00133 Rome, Italy.</t>
  </si>
  <si>
    <t>Marcucci, Maria federica/HNJ-5276-2023</t>
  </si>
  <si>
    <t>Marcucci, Maria Federica/0000-0002-5002-6060</t>
  </si>
  <si>
    <t>1464-1917</t>
  </si>
  <si>
    <t>PHYS CHEM EARTH PT C</t>
  </si>
  <si>
    <t>Phys. Chem. Earth Pt. C-Solar-Terr. Planet. Sci.</t>
  </si>
  <si>
    <t>1-3</t>
  </si>
  <si>
    <t>10.1016/S1464-1917(98)00021-X</t>
  </si>
  <si>
    <t>238LM</t>
  </si>
  <si>
    <t>WOS:000082711800021</t>
  </si>
  <si>
    <t>Jones, HI; Shellam, GR</t>
  </si>
  <si>
    <t>The occurrence of blood-inhabiting protozoa in captive and free-living penguins</t>
  </si>
  <si>
    <t>POLAR BIOLOGY</t>
  </si>
  <si>
    <t>SPHENISCUS-DEMERSUS; JACKASS PENGUIN; MALARIA; WILD</t>
  </si>
  <si>
    <t>While the susceptibility to infection with blood protozoa, particularly Plasmodium spp. and Leucocytozoon, of a wide range of species of penguins held in captivity is well established, the parasitism of penguins in the wild has been less studied. It appears, however, that free-living penguins from temperate locations exhibit infrequent parasitism, with the exception of Spheniscus demersus in Southern Africa in which infection with Babesia peircei is endemic, while the few available reports suggest that Antarctic and sub-antarctic species exhibit a generalised absence of blood-borne parasites. We have extended these studies by examining 194 thin blood smears for blood protozoa obtained from 4 species of free-living penguins from 5 sites, and have detected no blood parasites in penguins from either Antarctic (Aptenodytes forsteri, Pygoscelis adeliae) or temperate (Eudyptula minor, Spheniscus humboldti) locations. We discuss the possible reasons for the relative scarcity of blood protozoa in wild penguins, which include biting preferences or absence of suitable vectors, host specificity of the parasites, and long periods spent at sea by most penguin species, resulting in reduced opportunity for maintenance of parasite life-cycles.</t>
  </si>
  <si>
    <t>Univ Western Australia, Dept Microbiol, Nedlands, WA 6907, Australia</t>
  </si>
  <si>
    <t>University of Western Australia</t>
  </si>
  <si>
    <t>Jones, HI (corresponding author), Univ Western Australia, Dept Microbiol, Nedlands, WA 6907, Australia.</t>
  </si>
  <si>
    <t>hjones@cyllene.uwn.edu.au</t>
  </si>
  <si>
    <t>0722-4060</t>
  </si>
  <si>
    <t>1432-2056</t>
  </si>
  <si>
    <t>POLAR BIOL</t>
  </si>
  <si>
    <t>Polar Biol.</t>
  </si>
  <si>
    <t>10.1007/s003000050327</t>
  </si>
  <si>
    <t>Biodiversity Conservation; Ecology</t>
  </si>
  <si>
    <t>Biodiversity &amp; Conservation; Environmental Sciences &amp; Ecology</t>
  </si>
  <si>
    <t>154VU</t>
  </si>
  <si>
    <t>WOS:000077910900002</t>
  </si>
  <si>
    <t>Basterretxea, G; Arístegui, J</t>
  </si>
  <si>
    <t>Phytoplankton biomass and production during late austral spring (1991) and summer (1993) in the Bransfield Strait</t>
  </si>
  <si>
    <t>WEDDELL-SCOTIA CONFLUENCE; ICE-EDGE ZONE; SOUTHERN-OCEAN; ANTARCTIC PHYTOPLANKTON; ELEPHANT ISLAND; COASTAL WATERS; REGION; SEA; PENINSULA; IRON</t>
  </si>
  <si>
    <t>Phytoplankton biomass and productivity were measured during two cruises in the Bransfield Strait in December 1991 (D91) and January/February 1993 (J93). Strong seasonal variability in productivity values was observed due to differences in the physiological response of phytoplankton. However, although the photosynthetic capacity of phytoplankton was markedly lower in D91 [P-m(B) = 0.61 +/- 0.25 mg C (mg Chla)(-1) h(-1)] than in J93 [P-m(B) = 2.18 +/- 0.91 mg C (mg Chla)(-1) h(-1)], average water column chlorophyll values in different areas of the strait were approximately similar in D91 (49-78 mg Chla m(-2)) and J93 (22-76 mg Chla m(-2)). The spatial distribution of chlorophyll was patchy and generally associated with the influence of the different water masses that meet together in the Bransfield Strait. No correlation was found between the mixed layer depth and either the integrated chlorophyll or the productivity. Our results suggest that major phytoplankton blooms in the Bransfield Strait are advected from the nearby Gerlache Strait or Bellingshausen Sea following the main eastward surface currents.</t>
  </si>
  <si>
    <t>Univ Las Palmas Gran Canaria, Fac Ciencias Mar, E-35017 Las Palmas Gran Canaria, Spain</t>
  </si>
  <si>
    <t>Universidad de Las Palmas de Gran Canaria</t>
  </si>
  <si>
    <t>Univ Las Palmas Gran Canaria, Fac Ciencias Mar, E-35017 Las Palmas Gran Canaria, Spain.</t>
  </si>
  <si>
    <t>gotzon.basterretxea@biologia.ulpgc.es</t>
  </si>
  <si>
    <t>Arístegui, Javier/D-5833-2013; Basterretxea, Gotzon/D-2314-2011</t>
  </si>
  <si>
    <t>Arístegui, Javier/0000-0002-7526-7741; Basterretxea, Gotzon/0000-0001-7466-1360</t>
  </si>
  <si>
    <t>10.1007/s003000050328</t>
  </si>
  <si>
    <t>WOS:000077910900003</t>
  </si>
  <si>
    <t>Burns, JM; Castellini, MA; Testa, JW</t>
  </si>
  <si>
    <t>Movements and diving behavior of weaned Weddell seal (Leptonychotes weddellii) pups</t>
  </si>
  <si>
    <t>PLEURAGRAMMA-ANTARCTICUM PISCES; NORTHERN ELEPHANT SEALS; VERTICAL-DISTRIBUTION; ABUNDANCE; SATELLITE; FEMALE; NOTOTHENIIDAE; TELEMETRY; MIGRATION; FOOD</t>
  </si>
  <si>
    <t>Between 1993 and 1995, the diving behavior and movement patterns of 23 weaned Weddell seal pups (Leptonychotes weddellii) were tracked in the Ross Sea. Antarctica, using satellite-linked time-depth recorders. Regression analyses revealed that for seals of between 8 and 27 weeks old, age was poorly correlated with the dive depth, duration, or frequency. However, changes in dive parameters suggested that Weddell seal pups were attempting to maximize dive time, but the manner in which this was done depended on age and time of day. Movement patterns indicated that most Weddell seal pups left their natal area by the end of February, and traveled north along the Antarctic continent coastline. Several individuals returned to McMurdo Sound, but others were last located more than 400 km from McMurdo. Routes followed suggest that pups can use the pack ice habitat, but prefer to remain closer to the coastline than do adults.</t>
  </si>
  <si>
    <t>Univ Calif Santa Cruz, Inst Marine Sci, Santa Cruz, CA 95064 USA; Univ Alaska, Inst Marine Sci, Fairbanks, AK 99775 USA; Alaska Dept Fish &amp; Game, Anchorage, AK 99518 USA</t>
  </si>
  <si>
    <t>University of California System; University of California Santa Cruz; University of Alaska System; University of Alaska Fairbanks; Alaska Department of Fish &amp; Game</t>
  </si>
  <si>
    <t>Burns, JM (corresponding author), Univ Calif Santa Cruz, Inst Marine Sci, EMS A316, Santa Cruz, CA 95064 USA.</t>
  </si>
  <si>
    <t>Burns, Jennifer/AAC-8243-2019; Burns, Jennifer M/C-4159-2013</t>
  </si>
  <si>
    <t>Burns, Jennifer/0000-0001-9652-2943; Castellini, Michael/0000-0003-0396-1045</t>
  </si>
  <si>
    <t>10.1007/s003000050329</t>
  </si>
  <si>
    <t>WOS:000077910900004</t>
  </si>
  <si>
    <t>Falk-Petersen, S; Sargent, JR; Lonne, OJ; Timofeev, S</t>
  </si>
  <si>
    <t>Functional biodiversity of lipids in Antarctic zooplankton:: Calanoides acutus, Calanus propinquus, Thysanoessa macrura and Euphausia crystallorophias</t>
  </si>
  <si>
    <t>NORVEGICA M-SARS; RASCHII M-SARS; ECOLOGICAL INVESTIGATIONS; NORTHERN NORWAY; WEDDELL SEA; MEGANYCTIPHANES-NORVEGICA; SEASONAL-CHANGES; WAX ESTERS; HERBIVOROUS COPEPODS; TROPHIC MARKERS</t>
  </si>
  <si>
    <t>Zooplankton samples were collected in January 1993 off Dronning Maud Land along a transect from open waters to the marginal ice zone close to the Antarctic ice shelf. Thysanoessa macrura was caught in open waters while Calanoides acutus and Calanus propinquus were mainly sampled between ice floes in the marginal ice zone. The ice-krill Euphausia crystallorophias was found over the shelf directly associated with ice flees. T. macrura had a lipid content up to 36% of its dry weight with the dominant lipid class, wax ester, accounting for 45-50% of the total lipid. The predominance of 18:1 fatty alcohols is the striking characteristic of the wax esters. Small specimens of E. crystallorophias had lipid levels up to 26% of their dry weight with, unexpectedly, triacylglycerols being the dominant lipid (up to 41% of total lipid). The small levels of wax esters in these animals (3-6% of total lipid) had phytol as a major constituent. Large specimens of E. crystallorophias had up to 34% of their dry weight as lipid, with wax esters (47% of total lipid) dominated by 16:0 and 14:0 fatty alcohols as the major lipid. Calanus propinquus had lipid levels of up to 34% of their dry weight, with triacylglycerols (up to 63% of total lipid) being the dominant lipid. High levels of 22:1 (n-9) fatty acid were present in the triacylglycerols. Calanoides acutus had lipid levels up to 35% of the dry weight with wax esters accounting for up to 83% of total lipid. High levels of (n-3) polyunsaturated fatty acids were recorded with 20:5(n-3), 22:6(n-3) and 18:4(n-3) being the dominant moieties. On the basis of their lipid compositions we deduce that: (1) Calanoides acutus is the strictest herbivore among the four species studied, heavily utilizing the typical spring bloom; (2) T. macrura is essentially omnivorous, probably utilizing the less defined bloom situations found in oceanic waters; (3) E. crystallorophias is an omnivore well adapted to utilize both a bloom situation and to feed on ice algae and micro-zooplankton associated with the ice; (4) Calanus propinquus seems to be the most opportunistic feeder of the four species studied, probably grazing heavily on phytoplankton during a bloom and, during the rest of the year, feeding on whatever material is available, including particulates, flagellates and other ice-associated algae. We conclude that the different biochemical pathways generating large oil reserves of different compositions, enabling species to utilize different ecological niches, are major determinants of biodiversity in polar zooplankton.</t>
  </si>
  <si>
    <t>Norsk Polar Inst, N-9001 Tromso, Norway; Univ Stirling, Dept Biol &amp; Mol Sci, NERC, Unit Aquat Biochem, Stirling FK9 4LA, Scotland; Akvaplan Niva, N-9001 Tromso, Norway; Murmansk Marine Biol Inst, Murmansk 183023, Russia</t>
  </si>
  <si>
    <t>Norwegian Polar Institute; University of Stirling; UK Research &amp; Innovation (UKRI); Natural Environment Research Council (NERC); Akvaplan-niva; Russian Academy of Sciences</t>
  </si>
  <si>
    <t>Falk-Petersen, S (corresponding author), Norsk Polar Inst, POB 399, N-9001 Tromso, Norway.</t>
  </si>
  <si>
    <t>Lønne, Ole Jørgen/E-3539-2013</t>
  </si>
  <si>
    <t>10.1007/s003000050330</t>
  </si>
  <si>
    <t>WOS:000077910900005</t>
  </si>
  <si>
    <t>Daneri, GA; Piatkowski, U; Coria, NR; Carlini, AR</t>
  </si>
  <si>
    <t>Predation on cephalopods by Antarctic fur seals, Arctocephalus gazella at two localities of the Scotia Arc, Antarctica</t>
  </si>
  <si>
    <t>SOUTHERN ELEPHANT SEALS; SUMMER-AUTUMN PERIOD; MIROUNGA-LEONINA; HEARD-ISLAND; SHETLAND ISLANDS; DIVING BEHAVIOR; BREEDING-SEASON; LAURIE ISLAND; FISH PREY; PRYDZ BAY</t>
  </si>
  <si>
    <t>The cephalopod remains from 206 Antarctic fur seal (Arctocephalus ga ella) seats collected at Mossman Peninsula, South Orkney Islands (n = 105) and at Stranger Point, South Shetland Islands (n = 101) contained 148 beaks (57 lower and 91 upper). The lower beaks were sorted and measured. Identification of 33 of the lower beaks that were collected at Mossman Peninsula revealed two squid species, Brachioteuthis ?picta (n = 26) and Psychroteuthis glacialis (n = 7), with lower rostral lengths (LRL) of 2.0-3.5 mm, and 1.0-2.5 mm, respectively. Identification of 15 of the lower beaks collected at Stranger Point revealed the same squid species, with the LRL of B. ?picta ranging from 3.0-3.4 mm (n = 9), and that of P. glacialis from 2.0 to 3.5 mm (n = 6). Estimated squid sizes and wet masses indicate that Antarctic fur seals feed on the small subadult squid which inhabit the surface layers. We have compared the squid diet estimated for the seals with that reported for its congeners in lower latitudes and other Antarctic seals, and conclude that cephalopods do not form an important food resource for Antarctic fur seals.</t>
  </si>
  <si>
    <t>Museo Argentino Ciencias Nat Bernardino Rivadavia, Div Mastozool, RA-1405 Buenos Aires, DF, Argentina; Univ Kiel, Inst Meereskunde, D-24105 Kiel, Germany; Inst Antartico Argentino, Dept Biol, RA-1010 Buenos Aires, DF, Argentina</t>
  </si>
  <si>
    <t>Museo Argentino de Ciencias Naturales Bernardino Rivadavia (MACN); University of Kiel; Instituto Antartico Argentino</t>
  </si>
  <si>
    <t>Daneri, GA (corresponding author), Museo Argentino Ciencias Nat Bernardino Rivadavia, Div Mastozool, Av Angel Gallardo 470, RA-1405 Buenos Aires, DF, Argentina.</t>
  </si>
  <si>
    <t>gdaneri@mastoz.edu.ar</t>
  </si>
  <si>
    <t>Piatkowski, Uwe/G-4161-2011</t>
  </si>
  <si>
    <t>Piatkowski, Uwe/0000-0003-1558-5817</t>
  </si>
  <si>
    <t>10.1007/s003000050333</t>
  </si>
  <si>
    <t>WOS:000077910900008</t>
  </si>
  <si>
    <t>Rapley, C</t>
  </si>
  <si>
    <t>Global change and the polar regions</t>
  </si>
  <si>
    <t>POLAR RESEARCH</t>
  </si>
  <si>
    <t>Editorial Material</t>
  </si>
  <si>
    <t>British Antarctic Survey, Cambridge, England</t>
  </si>
  <si>
    <t>Rapley, C (corresponding author), British Antarctic Survey, Cambridge, England.</t>
  </si>
  <si>
    <t>NORWEGIAN POLAR INST</t>
  </si>
  <si>
    <t>MIDDELTHUNS GATE 29, POSTBOKS 5072 MAJORSTUA, 0301 OSLO, NORWAY</t>
  </si>
  <si>
    <t>0800-0395</t>
  </si>
  <si>
    <t>POLAR RES</t>
  </si>
  <si>
    <t>Polar Res.</t>
  </si>
  <si>
    <t>10.1111/j.1751-8369.1999.tb00282.x</t>
  </si>
  <si>
    <t>Ecology; Geosciences, Multidisciplinary; Oceanography</t>
  </si>
  <si>
    <t>Environmental Sciences &amp; Ecology; Geology; Oceanography</t>
  </si>
  <si>
    <t>282PY</t>
  </si>
  <si>
    <t>Green Accepted, hybrid</t>
  </si>
  <si>
    <t>WOS:000085228300003</t>
  </si>
  <si>
    <t>Grassl, H</t>
  </si>
  <si>
    <t>The cryosphere: an early indicator and global player</t>
  </si>
  <si>
    <t>International Symposium on Polar Aspects of Global Change</t>
  </si>
  <si>
    <t>AUG 24-28, 1998</t>
  </si>
  <si>
    <t>TROMSO, NORWAY</t>
  </si>
  <si>
    <t>Max Planck Inst Meteorol, Hamburg, Germany</t>
  </si>
  <si>
    <t>Grassl, H (corresponding author), Max Planck Inst Meteorol, Hamburg, Germany.</t>
  </si>
  <si>
    <t>10.1111/j.1751-8369.1999.tb00283.x</t>
  </si>
  <si>
    <t>WOS:000085228300004</t>
  </si>
  <si>
    <t>Orbæk, JB; Hisdal, V; Svaasand, LE</t>
  </si>
  <si>
    <t>Radiation climate variability in Svalbard:: surface and satellite observations</t>
  </si>
  <si>
    <t>This paper performs a climatological investigation of the surface radiation budget (SRB) in Svalbard, on the basis of the Norwegian Polar Institute's radiation measurements from Ny-Alesund (1981-1997) and the NASA/Langley Surface Radiation Budget Dataset (1983-1991). The radiation climate is related to meteorological conditions and surface properties, and compared to surface radiation fluxes measured from space. The natural variability of the short-wave and long-wave radiation fluxes in Ny-Alesund is generally governed by the large annual variation in the incoming Light with polar night and polar day conditions, the large changes of surface albedo - especially during spring - and the atmospheric circulation with frequent cyclone passages during winter with alternating periods of warm, humid maritime air from the south and cold, dry Arctic air from the north. Comparison with the satellite derived surface radiation fluxes shows that Ny-Alesund is to a large extent influenced by the ocean climate to the west of Svalbard during the summer and autumn, but has a more continental radiation climate representative of the more central parts of the island during winter and spring. Ny-Alesund is located in a fiord on the north-west coast of Svalbard, where the ocean cloud cover and the Arctic sea fog play an important role during the summer. During the winter and spring, however, the fiords are frozen and the drift ice covers a large extent of the surrounding ocean.</t>
  </si>
  <si>
    <t>Norwegian Polar Inst, Polar Environm Ctr, N-9296 Tromso, Norway</t>
  </si>
  <si>
    <t>Norwegian Polar Institute</t>
  </si>
  <si>
    <t>Orbæk, JB (corresponding author), Norwegian Polar Inst, Polar Environm Ctr, N-9296 Tromso, Norway.</t>
  </si>
  <si>
    <t>10.1111/j.1751-8369.1999.tb00284.x</t>
  </si>
  <si>
    <t>WOS:000085228300005</t>
  </si>
  <si>
    <t>Proshutinsky, AY; Polyakov, IV; Johnson, MA</t>
  </si>
  <si>
    <t>Climate states and variability of Arctic ice and water dynamics during 1946-1997</t>
  </si>
  <si>
    <t>SEA-ICE; OCEAN; ATLANTIC; CIRCULATION; TEMPERATURES; MODEL</t>
  </si>
  <si>
    <t>Recently observed changes in the Arctic have highlighted the need for a better understanding of Arctic dynamics. This research addresses that need and is also motivated by the recent finding of two regimes of Arctic ice - ocean wind-driven circulation, In this paper, we demonstrate that during 1946-1997 the Arctic environmental parameters have oscillated with a period of 10-15 years. Our results reveal significant differences among atmosphere, ice, and ocean processes during the anticyclonic and cyclonic regimes in the Arctic Ocean and its marginal seas. The oscillating behaviour of the Arctic Ocean we call the Arctic Ocean Oscillation (AOO). Based on existing data and results of numerical experiments, we conclude that during the anticyclonic circulation regime the prevailing processes lead to increases in atmospheric pressure, in ice concentration and ice thickness, river runoff, and surface water salinity - as well as to decreases in air temperature, wind speed, number of storms, precipitation, permafrost temperatures, coastal sea level, and surface water temperature. During the cyclonic circulation regime the prevailing processes lead to increased air and water temperatures, wind speed, number of storms, open water periods, and to decreases in ice thickness and ice concentration, river runoff, atmospheric pressure, and water salinity. The two-climate regime theory may help answer questions related to observed decadal variability of the Arctic Ocean and to reconcile the different conclusions among scientists who have analysed Arctic data obtained during different climate states.</t>
  </si>
  <si>
    <t>Univ Alaska, Inst Marine Sci, Fairbanks, AK 99775 USA</t>
  </si>
  <si>
    <t>Proshutinsky, AY (corresponding author), Univ Alaska, Inst Marine Sci, POB 757200, Fairbanks, AK 99775 USA.</t>
  </si>
  <si>
    <t>Proshutinsky, Andrey/0000-0003-3087-1934</t>
  </si>
  <si>
    <t>10.1111/j.1751-8369.1999.tb00285.x</t>
  </si>
  <si>
    <t>WOS:000085228300006</t>
  </si>
  <si>
    <t>Rinke, A; Dethloff, K; Spekat, A; Enke, W; Christensen, JH</t>
  </si>
  <si>
    <t>High resolution climate simulations over the Arctic</t>
  </si>
  <si>
    <t>MODEL; TEMPERATURES; ATMOSPHERE</t>
  </si>
  <si>
    <t>The regional atmospheric climate model HIRHAM has been applied to the Arctic. Simulations for the whole year 1990 and for an ensemble of winter months (January of 1985-1995) have been performed. The comparison of the simulations with observational data analyses shows that the general spatial patterns are in good agreement with the data, in both the vertical structure and the annual cycle. For an additional validation of the model results, a multivariate classification of large-scale circulation patterns has been applied to the January ensemble model simulations.</t>
  </si>
  <si>
    <t>Alfred Wegener Inst Polar &amp; Marine Res, D-14473 Potsdam, Germany; Free Univ Berlin, Inst Meteorol, D-12165 Berlin, Germany; Danish Meteorol Inst, DK-2100 Copenhagen, Denmark</t>
  </si>
  <si>
    <t>Helmholtz Association; Alfred Wegener Institute, Helmholtz Centre for Polar &amp; Marine Research; Free University of Berlin; Danish Meteorological Institute DMI</t>
  </si>
  <si>
    <t>Rinke, A (corresponding author), Alfred Wegener Inst Polar &amp; Marine Res, Telegrafenberg A43, D-14473 Potsdam, Germany.</t>
  </si>
  <si>
    <t>Christensen, Jens Hesselbjerg/C-4162-2013; Dethloff, Klaus/B-4879-2014; Rinke, Annette/B-4922-2014</t>
  </si>
  <si>
    <t>Christensen, Jens Hesselbjerg/0000-0002-9908-8203; Rinke, Annette/0000-0002-6685-9219</t>
  </si>
  <si>
    <t>10.1111/j.1751-8369.1999.tb00286.x</t>
  </si>
  <si>
    <t>WOS:000085228300007</t>
  </si>
  <si>
    <t>Skvarca, P; Rack, W; Rott, H; Donángelo, TIY</t>
  </si>
  <si>
    <t>Climatic trend and the retreat and disintegration of ice shelves on the Antarctic Peninsula:: an overview</t>
  </si>
  <si>
    <t>WEST</t>
  </si>
  <si>
    <t>Observations of the retreat and disintegration of ice shelves around the Antarctic Peninsula during the last three decades and associated changes in air temperature, measured at various meteorological stations on the Antarctic Peninsula, are reviewed. The climatically induced retreat of the northern Larsen Ice Shelf on the east coast and of the Wordie, George VI, and Wilkins ice shelves on the west coast amounted to about 10 000 km(2) since the mid-1960s. A summary is presented on the recession history of the Larsen Ice Shelf and on the collapse of those sections north of Robertson Island in early 1995. The area changes were derived from images of various satellites, dating back to a late 1963 image from the recently declassified US Argon space missions. This photograph reveals a previously unknown, minor advance of the northern Larsen Ice Shelf before 1975. During the period of retreat a consistent and pronounced warming trend was observed at the stations on both east and west coasts of the Antarctic Peninsula, but a major cause of the fast retreat and final collapse of the northernmost sections of the Larsen Ice Shelf were several unusually warm summers. Temperature records from the nearby station Marambio show that a positive mean summer temperature was reached for the first time in 1992-93. Recent observations indicate that the process of ice shelf disintegration is proceeding further south on both sides of the Antarctic Peninsula.</t>
  </si>
  <si>
    <t>Inst Antartico Argentino, RA-1010 Buenos Aires, DF, Argentina; Univ Innsbruck, Inst Geophys &amp; Meteorol, A-6020 Innsbruck, Austria; Serv Meteorol Nacl, RA-1002 Buenos Aires, DF, Argentina</t>
  </si>
  <si>
    <t>Instituto Antartico Argentino; University of Innsbruck</t>
  </si>
  <si>
    <t>Inst Antartico Argentino, Cerrito 1248, RA-1010 Buenos Aires, DF, Argentina.</t>
  </si>
  <si>
    <t>Rack, Wolfgang/U-8898-2017</t>
  </si>
  <si>
    <t>Rack, Wolfgang/0000-0003-2447-377X</t>
  </si>
  <si>
    <t>1751-8369</t>
  </si>
  <si>
    <t>10.1111/j.1751-8369.1999.tb00287.x</t>
  </si>
  <si>
    <t>WOS:000085228300008</t>
  </si>
  <si>
    <t>Gerdes, R; Köberle, C</t>
  </si>
  <si>
    <t>Numerical simulation of salinity anomaly propagation in the Nordic seas and the Arctic Ocean</t>
  </si>
  <si>
    <t>MODEL; CIRCULATION; ICE</t>
  </si>
  <si>
    <t>We investigate the response of the Nordic seas-Arctic Ocean system to surface freshwater flux anomalies that we regard as typical for long-term atmospheric variability. We employ response experiments with a coupled sea ice-ocean model where we introduce a surface freshwater flux anomaly (A) over the Norwegian Sea and (B) in the Laptev Sea. Case A offers an explanation for the intermediate depth salinity changes observed in the Amundsen Basin. The signal observed there belongs to an original perturbation that, according to the model, occurred around a decade earlier. Salinity fluctuations in the Laptev Sea could play a role in changes in the near surface salinity in the Amundsen Basin.</t>
  </si>
  <si>
    <t>Gerdes, R (corresponding author), Alfred Wegener Inst Polar &amp; Marine Res, Handelshafen 12, D-27570 Bremerhaven, Germany.</t>
  </si>
  <si>
    <t>10.1111/j.1751-8369.1999.tb00288.x</t>
  </si>
  <si>
    <t>WOS:000085228300009</t>
  </si>
  <si>
    <t>Gloersen, P; Huang, NE</t>
  </si>
  <si>
    <t>In search of an elusive Antarctic circumpolar wave in sea ice extents: 1978-1996</t>
  </si>
  <si>
    <t>For ease in discerning an Antarctic circumpolar wave in the perimeter of the ice pack, we construct a time series of the sea ice extents (essentially the area within the ice perimeter) in 1-degree longitudinal sectors for the period 1978-1996, as observed with the multichannel microwave imagers on board the NASA Nimbus 7 and the DOD (Dept. of Defense) DMSP (Defense Meteorological Satellite Program) F8, F11, and F13 satellites. After converting the time series into complex numbers by means of a Hilbert transform, we decompose the time series of the 360 sectors into its complex principal components (CPCs), effectively separating the spatial and temporal values. Then we decompose the real and imaginary parts of the temporal portions of the first three CPCs (complex principal compenents) by Empirical Mode Decomposition into their intrinsic modes, each representing a narrow frequency band, resulting in a collection of three CPCs for each intrinsic mode. Finally, we reconstruct the data in two different ways. First, we low-pass filter the data by combining all of the intrinsic modes of each CPC with periods longer than two years, which we designate as lowpass filtered. Next, we select the intrinsic mode of each CPC with periods of approximately four years, which we designate the quasiquadrennial (QQ) modes. The low-pass filtered time series shows eastward propagating azimuthal motion in the Ross and Weddell Seas, but no clearly circumpolar motion. The QQ time series, on the other hand, clearly shows eastward propagating circumpolar waves, but with occasional retrograde motion to the west.</t>
  </si>
  <si>
    <t>NASA, Goddard Space Flight Ctr, Oceans &amp; Ice Branch, Lab Hydrospher Proc, Greenbelt, MD 20771 USA</t>
  </si>
  <si>
    <t>National Aeronautics &amp; Space Administration (NASA); NASA Goddard Space Flight Center</t>
  </si>
  <si>
    <t>Gloersen, P (corresponding author), NASA, Goddard Space Flight Ctr, Oceans &amp; Ice Branch, Lab Hydrospher Proc, Code 661, Greenbelt, MD 20771 USA.</t>
  </si>
  <si>
    <t>10.1111/j.1751-8369.1999.tb00289.x</t>
  </si>
  <si>
    <t>WOS:000085228300010</t>
  </si>
  <si>
    <t>Haarpaintner, J</t>
  </si>
  <si>
    <t>The Storfjorden polynya: ERS-2 SAR observations and overview</t>
  </si>
  <si>
    <t>DENSE WATER; SEA-ICE; BARENTS SEA; MODEL; SVALBARD; OUTFLOW; OCEAN; SIZE; WIND</t>
  </si>
  <si>
    <t>Persistent polynyas have been observed over several winters in Storfjorden, situated between Spitsbergen and Barentsoya/Edgeoya in the south of the Svalbard archipelago. Polynyas are in general active regions with respect to ocean-atmosphere heat exchange, presenting strong convection phenomena and as such being involved in important water mass formation and having an impact on the marine ecosystem. Hydrographic observations have revealed very dense (cold and saline) brine-enriched bottom waters leaving the continental shelf as gravity driven plumes into the deep sea west of Spitsbergen. Satellite observations, using ERS-2 SAR imagery, reveal the evolution of the Storfjorden polynya during winter 1997/98. After forming a complete ice cover until mid-January, Storfjorden responds dynamically to northerly winds by opening a large latent heat polynya. It occupies at its largest extent a region of up to 6000 km(2) of open water, thin ice and brash ice. Comparable in size to other large Arctic polynyas, the Storfjorden polynya might have the same or even greater importance in the thermohaline circulation and bottom water mass formation. Ice production is estimated at 30 km(3) in Storfjorden, rejecting around 700 Mt (Megatons) of salt that can raise the salinity in Storfjorden by 0.9-1.0 PSU. First studies and the winter 1997/98 evolution of this polynya are presented in this paper.</t>
  </si>
  <si>
    <t>Haarpaintner, J (corresponding author), Norwegian Polar Inst, Polar Environm Ctr, N-9296 Tromso, Norway.</t>
  </si>
  <si>
    <t>Haarpaintner, Jorg/0000-0002-9681-9269</t>
  </si>
  <si>
    <t>10.1111/j.1751-8369.1999.tb00290.x</t>
  </si>
  <si>
    <t>WOS:000085228300011</t>
  </si>
  <si>
    <t>Haugan, PM</t>
  </si>
  <si>
    <t>Structure and heat content of the West Spitsbergen Current</t>
  </si>
  <si>
    <t>The seasonal evolution of the hydrographic structure of the West Spitsbergen Current (WSC) above bottom depths from 300 m to 800 m is discussed based on a modern data set with high spatial resolution. The WSC appears to have a core with high temperature and salinity, linked to the topography in this depth interval, with a width on the order of 10 km. Strong cooling occurs in the autumn, reducing the heat content of the upper 200 m, but advected temperature and salinity maxima survive close to the surface in spring when air-sea exchange and vertical mixing is hampered by sea ice and meltwater.</t>
  </si>
  <si>
    <t>Univ Bergen, Inst Geophys, N-5007 Bergen, Norway</t>
  </si>
  <si>
    <t>University of Bergen</t>
  </si>
  <si>
    <t>Haugan, PM (corresponding author), Univ Bergen, Inst Geophys, Allegaten 70, N-5007 Bergen, Norway.</t>
  </si>
  <si>
    <t>10.1111/j.1751-8369.1999.tb00291.x</t>
  </si>
  <si>
    <t>WOS:000085228300012</t>
  </si>
  <si>
    <t>Callaghan, TV; Press, MC; Lee, JA; Robinson, DL; Anderson, CW</t>
  </si>
  <si>
    <t>Spatial and temporal variability in the responses of Arctic terrestrial ecosystems to environmental change</t>
  </si>
  <si>
    <t>CLIMATE-RELATED GROWTH; HYLOCOMIUM SPLENDENS; COMMUNITY; TUNDRA; PLANTS</t>
  </si>
  <si>
    <t>This paper compares the responses of two contrasting Arctic ecosystems to climate change simulations: a polar semi-desert (in Svalbard) and a dwarf shrub heath (at Abisko, northern Sweden). These ecosystems are located close to the northern- and southernmost extremes of the Arctic region, respectively. Impacts of simulated climatic changes were determined through factorial perturbation experiments, where growing season temperature, nutrient availability and water supply were manipulated. The results are compared with the impact of interannual variation in climate on the growth of a keystone moss species, Hylocomium splendens, from the wider circumpolar area. The perturbation studies revealed that current interannual variability in temperature and the temperate tolerance of many species may exceed predicted changes in mean summer temperature over the next century. Arctic ecosystems differed in their responses to environmental manipulations, with the structure of the dwarf shrub heath being affected through shifts in competitive hierarchy, potentially leading to lower biodiversity, and the polar semi-desert being affected through invasion, potentially leading to higher diversity. H. splendens showed negative responses to perturbation at the sub-Arctic site, in contrast to the positive relationship between temperature and growth observed in the natural environment. This apparent discrepancy may result from: (i) artefacts arising from the perturbations, such as lower atmospheric relative humidity; (ii) non-equilibrium responses during the relatively short-term perturbation studies and/or (iii) ecotypic variation in the moss population. Thus, caution should be employed when extrapolating from perturbations studies to both longer time-scales and different ecosystems within the Arctic.</t>
  </si>
  <si>
    <t>Royal Swedish Acad Sci, Abisko Sci Res Stn, SE-98107 Abisko, Sweden; Univ Sheffield, Dept Anim &amp; Plant Sci, Sheffield Ctr Arctic Ecol, Sheffield S10 5BR, S Yorkshire, England; Univ Sheffield, Dept Anim &amp; Plant Sci, Sheffield S10 2TN, S Yorkshire, England; Univ Sheffield, Dept Probabil &amp; Stat, Sheffield S10 2TN, S Yorkshire, England</t>
  </si>
  <si>
    <t>Royal Swedish Academy of Sciences; University of Sheffield; University of Sheffield; University of Sheffield</t>
  </si>
  <si>
    <t>Callaghan, TV (corresponding author), Royal Swedish Acad Sci, Abisko Sci Res Stn, SE-98107 Abisko, Sweden.</t>
  </si>
  <si>
    <t>Press, Malcolm Colin/ABB-3995-2021; Callaghan, Terens V./N-7640-2014</t>
  </si>
  <si>
    <t>10.1111/j.1751-8369.1999.tb00293.x</t>
  </si>
  <si>
    <t>WOS:000085228300014</t>
  </si>
  <si>
    <t>Christensen, TR</t>
  </si>
  <si>
    <t>Potential and actual trace gas fluxes in Arctic terrestrial ecosystems</t>
  </si>
  <si>
    <t>ATMOSPHERIC METHANE; CARBON-DIOXIDE; FOREST SOILS; EMISSION; DENITRIFICATION; FERTILIZATION</t>
  </si>
  <si>
    <t>This paper provides an overview of results obtained through a number of studies of actual and potential trace gas exchanges in Eurasian and Greenlandic tundra ecosystems. The chief findings include: i) Long-term accumulation rates of carbon in organic tundra soils, i.e. net uptake of atmospheric CO2, are strongly controlled by simple climatic parameters (mean July temperature, annual precipitation). Warmer and wetter conditions stimulate carbon sequestration rates in Arctic terrestrial ecosystems. ii) The release of carbon through ecosystem respiration is also heavily influenced by climate. However, the release of dead organic soil carbon as CO2 is constrained by the lability of the stored organic compounds. This lability decreases significantly with depth (i.e. age) of the soils; moreover, this in turn decreases the temperature sensitivity of the decomposition process. iii) Methane emissions from typical tundra habitats in northern Eurasia are slightly lower than from seemingly similar habitats in North America although this difference probably can be attributed to the colder climatic setting of the studied sites compared with the general climatic conditions at the North American sites. There is a strong linkage between COP exchange, CH4 formation and emission rates in some wet tundra ecosystems. iv) Atmospheric uptake of CH4 occurs in some dry and mesic tundra habitats and there are indications that these uptake rates could be affected negatively by atmospheric nitrogen deposition. Emissions of N2O are rarely seen from Arctic soils but there appear to be a strong potential for denitrification and, hence, N2O release. This might be due to high rates of denitrification during the spring thaw and possibly associated significant releases of N2O in this period.</t>
  </si>
  <si>
    <t>Lund Univ, Dept Ecol, Climate Impacts Grp, SE-22362 Lund, Sweden</t>
  </si>
  <si>
    <t>Lund University</t>
  </si>
  <si>
    <t>Lund Univ, Dept Ecol, Climate Impacts Grp, Ecol Bldg, SE-22362 Lund, Sweden.</t>
  </si>
  <si>
    <t>Christensen, Torben R./0000-0002-4917-148X</t>
  </si>
  <si>
    <t>TROMSO</t>
  </si>
  <si>
    <t>POLAR ENVIRONMENTAL CENTRE, HJALMAR JOHANSENSGATE 14, TROMSO, FRAMSENTERET, NORWAY</t>
  </si>
  <si>
    <t>10.1111/j.1751-8369.1999.tb00294.x</t>
  </si>
  <si>
    <t>WOS:000085228300015</t>
  </si>
  <si>
    <t>Hobbie, JE; Peterson, BJ; Bettez, N; Deegan, L; O'Brien, WJ; Kling, GW; Kipphut, GW; Bowden, WB; Hershey, AE</t>
  </si>
  <si>
    <t>Impact of global change on the biogeochemistry and ecology of an Arctic freshwater system</t>
  </si>
  <si>
    <t>SLIMY SCULPIN; LAKE; PREDATION; GROWTH; FERTILIZATION; POPULATIONS; STREAM; RIVER; DIET</t>
  </si>
  <si>
    <t>Lakes and streams in the foothills near Toolik Lake, Alaska, at 68 degrees N have been studied since 1975 to predict physical, chemical and biological impacts of future global change. Experimental manipulations include whole lake and continuous stream fertilization as well as removal and addition of predators (copepods, lake trout, grayling, sculpin). Based on our evidence the following scenario is likely. Warming thaws the upper layers of permafrost and streams and lakes become enriched with phosphorus. Streams respond quickly with higher production of diatoms but animal grazers keep biomass changes to a minimum. Fish productivity also increases. If phosphorus levels are too high, mosses become the dominant primary producer and sequester all of the nutrients. Growth of Arctic grayling under the present conditions only occurs in summers with higher than average stream flow. The present population would be stressed by warmer temperatures. When higher phosphorus levels reach lakes and cause slight eutrophication, the number of trophic levels will increase, especially within the microbial food web. Warmer lake temperatures increase stratification and, combined with eutrophication, could decrease oxygen in the hypolimnion. Oxygen levels will also decrease in winter under the ice cover. Eventually this habitat change will eliminate the lake trout, a top predator. Removal of lake trout results in a striking increase in abundance and productivity of smaller fish, including small lake trout, and the emergence of burbot as an alternate top predator. Large species of zooplankton will become virtually extinct.</t>
  </si>
  <si>
    <t>Marine Biol Lab, Woods Hole, MA 02543 USA; Univ Kansas, Dept Systemat &amp; Ecol, Lawrence, KS 66045 USA; Univ Michigan, Dept Biol, Ann Arbor, MI 48109 USA; Murray State Univ, Murray, KY 42071 USA; Landcare Res, Lincoln, New Zealand; Univ N Carolina, Dept Biol, Greensboro, NC 27402 USA</t>
  </si>
  <si>
    <t>Marine Biological Laboratory - Woods Hole; University of Kansas; University of Michigan System; University of Michigan; Murray State University; Landcare Research - New Zealand; University of North Carolina; University of North Carolina Greensboro</t>
  </si>
  <si>
    <t>Hobbie, JE (corresponding author), Marine Biol Lab, Woods Hole, MA 02543 USA.</t>
  </si>
  <si>
    <t>Bettez, Neil D/C-7548-2009; Bowden, William B/J-9219-2014; Bettez, Neil D/I-5672-2012; Kling, George/C-7867-2015</t>
  </si>
  <si>
    <t>Bettez, Neil/0000-0002-6859-8083; Kling, George/0000-0002-6349-8227</t>
  </si>
  <si>
    <t>10.1111/j.1751-8369.1999.tb00295.x</t>
  </si>
  <si>
    <t>WOS:000085228300016</t>
  </si>
  <si>
    <t>Joabsson, A; Christensen, TR; Wallén, B</t>
  </si>
  <si>
    <t>Influence of vascular plant photosynthetic rate on CH4 emission from peat monoliths from southern boreal Sweden</t>
  </si>
  <si>
    <t>METHANE FLUX; ARCTIC TUNDRA; WATER-TABLE; PEATLANDS; ENVIRONMENTS; VEGETATION; TRANSPORT; OXIDATION; WETLANDS; EFFLUX</t>
  </si>
  <si>
    <t>Feat monoliths taken from a boreal peatland system were incubated at two different light intensities to investigate the effect of the photosynthetic rate of vascular plants (Eriophorum angustifolium) on net CH4 emission. The experimental set-up consisted of six replicate monoliths as controls and six where the photosynthetic active radiation (PAR) was reduced by 60%. NEP and total system respiration decreased significantly in response to reduced PAR. No significant changes in CH4 emission were found, but two different trends were noted. Methane emissions from the shaded monoliths initially seemed to be higher than emissions from the controls. After approximately four weeks the trend was reversed. The pattern may have been caused by leakage of organic compounds from inactivated roots that fueled CH4 production. It is suggested that a new balanced exchange of potential substrate carbon between the plants and the surrounding peat was established. Comparably less easily degradable carbon compounds would then become available for CH4 production. The fact that there appeared to be an effect of decreased carbon flow on CH4 emission is further supported by a tendency for lower concentrations of organic acids in porewater in the shaded monoliths at the end of the experiment. These results indicate a possible lagtime on the order of weeks before changes in photosynthesis rates and NEP have an effect on CH4 emission rates. Nevertheless it confirms the linkage between CO2 and CH4 cycling in wetland ecosystems.</t>
  </si>
  <si>
    <t>Univ Lund, Dept Ecol, Climate Impacts Grp, SE-22362 Lund, Sweden; Univ Lund, Dept Ecol, Ecosyst &amp; Populat Ecol Grp, SE-22362 Lund, Sweden</t>
  </si>
  <si>
    <t>Lund University; Lund University</t>
  </si>
  <si>
    <t>Joabsson, A (corresponding author), Univ Lund, Dept Ecol, Climate Impacts Grp, SE-22362 Lund, Sweden.</t>
  </si>
  <si>
    <t>10.1111/j.1751-8369.1999.tb00296.x</t>
  </si>
  <si>
    <t>WOS:000085228300017</t>
  </si>
  <si>
    <t>Lévesque, E; Svoboda, J</t>
  </si>
  <si>
    <t>Vegetation re-establishment in polar lichen-kill landscapes:: a case study of the Little Ice Age impact</t>
  </si>
  <si>
    <t>PLANT-DISTRIBUTION; DESERT; COMMUNITIES; PATTERNS; ISLAND; CANADA; COVER</t>
  </si>
  <si>
    <t>It has been accepted that the extremely sparse vegetation currently observed in Canadian polar deserts is due to prevailing unfavourable climatic conditions, inhibiting plant establishment, growth and survival. Less considered in the literature is the additional antagonistic factor of episodic adverse climatic anomalies. Such was the most recent Little Ice Age (LIA) cooling which caused a setback to, or even large scale extinction of, high Arctic plant communities that had taken centuries to develop. The LIA brought about new glacial advances, expansion of permanent snow banks and formation of ice crusts over entire landscapes. The newly formed ice (and snow) killed the underlying vegetation, thus creating what is in the geological literature referred to as lichen-kill zones. In these zones the current plant diversity and abundance are exceedingly low and the plants are all relatively young and even-aged, factors which all point to their recent origin. Here we maintain that this vegetation has not yet reached equilibrium with the present prevailing climate and that it is still in an initial stage of succession. We present results of eight upland sites sampled in the vicinity of Alexandra Fiord Lowland, Ellesmere Island, Canada, to demonstrate the slow recolonization process that has been occurring within the last 100-150 years after the LIA termination. The widespread presence of the lichen-kill zones throughout the Canadian polar regions reflects the extent and destructive nature of even minor climatic cooling on vulnerable polar ecosystems.</t>
  </si>
  <si>
    <t>Univ Quebec, Dept Chim Biol, Trois Rivieres, PQ G9A 5H7, Canada; Univ Toronto, Dept Bot, Mississauga, ON L5L 1C6, Canada</t>
  </si>
  <si>
    <t>University of Quebec; University of Quebec Trois Rivieres; University of Toronto; University Toronto Mississauga</t>
  </si>
  <si>
    <t>Lévesque, E (corresponding author), Univ Quebec, Dept Chim Biol, CP 500, Trois Rivieres, PQ G9A 5H7, Canada.</t>
  </si>
  <si>
    <t>Levesque, Esther/0000-0002-1119-6032</t>
  </si>
  <si>
    <t>CO-ACTION PUBLISHING</t>
  </si>
  <si>
    <t>JARFALLA</t>
  </si>
  <si>
    <t>RIPVAGEN 7, JARFALLA, SE-175 64, SWEDEN</t>
  </si>
  <si>
    <t>10.1111/j.1751-8369.1999.tb00297.x</t>
  </si>
  <si>
    <t>WOS:000085228300018</t>
  </si>
  <si>
    <t>Montiel, P; Smith, A; Keiller, D</t>
  </si>
  <si>
    <t>Photosynthetic responses of selected Antarctic plants to solar radiation in the southern maritime Antarctic</t>
  </si>
  <si>
    <t>UV-B RADIATION; OZONE DEPLETION; VASCULAR PLANTS; PHYTOPLANKTON; PIGMENTS; CO2; TERRESTRIAL; PENINSULA; EXPOSURE; LEAVES</t>
  </si>
  <si>
    <t>The effects of UV-B exclusion acid enhancement of solar radiation on photosynthesis of the two phanerogams which occur in the maritime Antarctic, Deschampsia antarctica and Colobanthus quitensis, and the moss Sanionia uncinata were investigated. Data on air temperature and solar radiation illustrate a drastic seasonal variation. Daily O-3 column mean values and UV-B measured at ground level document the occurrence of the O-3 hole in the spring of 1997, with a concomitant increase in W-B. The grass, D. antarctica, exhibited a broad temperature optimum for photosynthesis between 10-2.5 degrees C while photosynthesis did not saturate even at high irradiance. The high water use efficiencies measured in the grass may be one of the features explaining the presence of this species in the maritime Antarctic. The net photosynthesis response to intercellular CO2 (A/c(i)) for D. antarctica was typical of a C-3 plant. Exposure to a biologically effective UV-B irradiance of 0.74 W m(-2) did not result in any significant change in either the maximum rate of photosynthesis at saturating CO2 and light, or in the initial carboxylation efficiency of Rubisco. (V-c,V-max). Furthermore while ambient (or enhanced) solar UV-B did not affect photochemical yield, measured in the field, of .C quitensis and D. antarctica, UV-B enhancement did affect negatively photochemical yield in S. uncinata. In D. antarctica plants, exposure to UV-B at low irradiances elicited increased flavonoid synthesis. The observed effects of UV-B enhancement on the moss (decreased photochemical yield) and the grass (increase in flavonoids) require further, separate investigation.</t>
  </si>
  <si>
    <t>British Antarctic Survey, Cambridge CB3 0ET, England; Anglia Polytech Univ, Cambridge CB1 1PT, England</t>
  </si>
  <si>
    <t>UK Research &amp; Innovation (UKRI); Natural Environment Research Council (NERC); NERC British Antarctic Survey; Anglia Ruskin University</t>
  </si>
  <si>
    <t>Montiel, P (corresponding author), British Antarctic Survey, High Cross,Madingley Rd, Cambridge CB3 0ET, England.</t>
  </si>
  <si>
    <t>Keiller, Don/0000-0003-2718-2257</t>
  </si>
  <si>
    <t>10.1111/j.1751-8369.1999.tb00298.x</t>
  </si>
  <si>
    <t>Green Accepted</t>
  </si>
  <si>
    <t>WOS:000085228300019</t>
  </si>
  <si>
    <t>Panikov, NS</t>
  </si>
  <si>
    <t>Fluxes of CO2 and CH4 in high latitude wetlands:: measuring, modelling and predicting response to climate change</t>
  </si>
  <si>
    <t>METHANE; WINTER; ENVIRONMENTS; TUNDRA; CARBON; SOILS</t>
  </si>
  <si>
    <t>This review covers selected aspects of recent international efforts to measure and model greenhouse gas emission from northern wetlands, to identify the environmental factors that control gas emission, and to investigate wetlands' responses (particularly with respect to gas emission) to global change. Both bottom-up and top-to-bottom approaches, based respectively on local observations plus inventory of gas fluxes and inverse modelling of global circulation, agree on the size of the high latitude (&gt;60 degrees N) contribution to global methane, which should be about 13% or 70 Tg/year. It has been shown that winter and spring fluxes are an essential part in the annual budget of CH4 and especially CO2 exchange (varying from 5 to 50%). Soil micro-organisms were shown to be able to respire during winter even at -16 degrees C. In comparison to aerobically respiring organisms, anaerobic methanogenic bacteria were less active in frozen soil, although they are subjected to significant stimulation by soil freeze-thaw cycles. The absence of immediate coupling of methanogenesis with plant photosynthesis implies that substrates for methane formation are derived from peat decomposition rather than from root exudation.</t>
  </si>
  <si>
    <t>Panikov, NS (corresponding author), Russian Acad Sci, Inst Microbiol, Prospect 60 Let octyabrya 7-2, Moscow 117811, Russia.</t>
  </si>
  <si>
    <t>Panikov, Nicolai/H-5723-2016</t>
  </si>
  <si>
    <t>10.1111/j.1751-8369.1999.tb00299.x</t>
  </si>
  <si>
    <t>WOS:000085228300020</t>
  </si>
  <si>
    <t>Shaver, GR; Jonasson, S</t>
  </si>
  <si>
    <t>Response of Arctic ecosystems to climate change: results of long-term field experiments in Sweden and Alaska</t>
  </si>
  <si>
    <t>SIMULATED ENVIRONMENTAL-CHANGE; GROWTH-RESPONSES; DWARF SHRUBS; NUTRIENT APPLICATION; CARBON STORAGE; TUNDRA; COMMUNITY; BIOMASS; PERTURBATIONS; NITROGEN</t>
  </si>
  <si>
    <t>Long-term field experiments at Abisko, Sweden, and Toolik Lake, Alaska, reveal both similarities and differences in response of contrasting Arctic ecosystems to changes in temperature, light, and nutrient availability. Five different ecosystems were manipulated for 5-15 years by increasing air temperature with greenhouses, by decreasing light with shading, and by increasing available N and P with fertilizers. The ecosystems at Abisko included evergreen-dominated heath and fellfield sites; at Toolik Lake they included wet sedge tundra, moist tussock tundra, and dry heath tundra. In all ecosystems, fertilizer treatment increased plant growth, production, and/ or biomass. Plant responses to warming were smaller and occasionally nonsignificant. Responses to shading were generally nonsignificant after 3-6 years, although after 9 years the tussock tundra showed significant decreases in biomass. In general, the ecosystems at Abisko were less responsive to nutrients and more responsive to temperature than the ecosystems at Toolik Lake. Overall, though, the sites were quite similar in their responses to the perturbations, increasing our confidence in predictions of response to climate change over large areas based on small-area studies.</t>
  </si>
  <si>
    <t>Marine Biol Lab, Ctr Ecosyst, Woods Hole, MA 02543 USA; Univ Copenhagen, Dept Plant Ecol, DK-1353 Copenhagen K, Denmark</t>
  </si>
  <si>
    <t>Marine Biological Laboratory - Woods Hole; University of Copenhagen</t>
  </si>
  <si>
    <t>Shaver, GR (corresponding author), Marine Biol Lab, Ctr Ecosyst, Woods Hole, MA 02543 USA.</t>
  </si>
  <si>
    <t>10.1111/j.1751-8369.1999.tb00300.x</t>
  </si>
  <si>
    <t>WOS:000085228300021</t>
  </si>
  <si>
    <t>Sommerkorn, M; Bölter, M; Kappen, L</t>
  </si>
  <si>
    <t>Carbon dioxide fluxes of soils and mosses in wet tundra of Taimyr Peninsula, Siberia:: controlling factors and contribution to net system fluxes</t>
  </si>
  <si>
    <t>ARCTIC TUNDRA; WATER-TABLE; RESPIRATION; EFFLUX; CO2; ECOSYSTEMS; PEATLANDS; EXCHANGE; BALANCE; METHANE</t>
  </si>
  <si>
    <t>Knowledge of the environmental controls of carbon dioxide fluxes is essential for understanding the dynamics of carbon exchange between ecosystems and atmosphere. In this study we investigated soil respiration and moss photosynthesis as well as their contribution to the net carbon dioxide flux of two different wet tundra systems. During two summers, in situ carbon dioxide fluxes were measured in a tussock tundra and in a low-centre polygonal tundra on Taimyr Peninsula, central Siberia. Measurements were carried out by means of a multichannel gas exchange system. Results show pronounced differences in soil respiration rates as related to microscale topography, mainly due to differences of soil water table and soil temperatures. Modelling of soil respiration for individual microsites revealed differences of process performance with respect to both factors. The wet microsites showed the highest potential regarding an increase of soil respiration rates in warmer and drier climate change scenarios. Another important process compensating the CO2 release from the soil was the photosynthesis of the moss layer, assimilating as much as 51% to 98% of the daily amount of carbon dioxide released from wet tundra soils. This result demonstrates the importance of mosses in the context of tundra ecosystem processes. The magnitude of net system fluxes of the whole system at the depression of the polygonal tundra was strongly influenced by changes in soil water table. Consequently, any changes of the hydrology, as anticipated in the context of global change, would effectively alter the carbon balance of wet tundra systems.</t>
  </si>
  <si>
    <t>Inst Polar Ecol, D-24148 Kiel, Germany</t>
  </si>
  <si>
    <t>Sommerkorn, M (corresponding author), Inst Polar Ecol, Wischhofstr 1-3,Bldg 12, D-24148 Kiel, Germany.</t>
  </si>
  <si>
    <t>10.1111/j.1751-8369.1999.tb00301.x</t>
  </si>
  <si>
    <t>WOS:000085228300022</t>
  </si>
  <si>
    <t>Wada, N</t>
  </si>
  <si>
    <t>Factors affecting the seed-setting success of Dryas octopetala in front of Broggerbreen (Brogger Glacier) in the high Arctic, Ny-Alesund, Svalbard</t>
  </si>
  <si>
    <t>REPRODUCTIVE DEVELOPMENT; PLANTS; PHENOLOGY; GROWTH; ENVIRONMENT; POLLINATORS; TEMPERATURE; STRATEGIES; RESPONSES; BEHAVIOR</t>
  </si>
  <si>
    <t>To determine the factors restricting plant reproduction in front of a glacier, the gender expression and seed production of Dryas octopetala L. (Rosaceae) were observed, as well as the grazing pattern of reindeer on flowers, near Broggerbreen (Brogger Glacier), which is near Ny-Alesund (78 degrees 55'N, 11 degrees 56'E), Svalbard. Three hundred shoots with flowers and flower buds were randomly tagged in early July 1996. Between then and the end of flowering in late July, 100 (33%) flowers and buds were grazed by reindeer. Out of the surviving flowers, 145 (76%) shoots had hermaphrodite flowers, while 45 (24%) shoots had male flowers without a developed gynoecium. Male flowers, which appeared later than hermaphrodite flowers in the population, were significantly smaller than hermaphrodite flowers in dry weight. In the hermaphrodite flowers, moreover, smaller flowers showed lower dry-weight allocation to the gynoecium as compared to larger flowers. During the observation, hermaphrodite flowers did not produce any developed seeds under a natural condition (0% seed-set). Cross-pollinated flowers showed 8% seed-set. On the other hand, flowers which were artificially warmed in small greenhouses during the flowering period showed 60% seed-set, regardless of cross-pollination or autodeposition of pollen from anthers to stigma (self-pollination). Thus, it was found that grazing, gender variation in relation to the length of the growing season and the flower size, and - in the flowering period - low temperature rather than pollinator limitation strongly affected the seed production of D. octopetala in the population studied.</t>
  </si>
  <si>
    <t>Toyama Univ, Fac Sci, Dept Biosphere Sci, Toyama 9308555, Japan</t>
  </si>
  <si>
    <t>University of Toyama</t>
  </si>
  <si>
    <t>Wada, N (corresponding author), Toyama Univ, Fac Sci, Dept Biosphere Sci, Toyama 9308555, Japan.</t>
  </si>
  <si>
    <t>10.1111/j.1751-8369.1999.tb00302.x</t>
  </si>
  <si>
    <t>WOS:000085228300023</t>
  </si>
  <si>
    <t>French, HM</t>
  </si>
  <si>
    <t>Past and present permafrost as an indicator of climate change</t>
  </si>
  <si>
    <t>CANADA; FIRE</t>
  </si>
  <si>
    <t>The permafrost history of the high northern latitudes over the last two million years indicates that perennially frozen ground formed and thawed repeatedly, probably in close synchronicity with the climate changes that led to the expansion and subsequent shrinkage of continental ice sheets. The early stages of the Pleistocene are the least known and the changes that occurred in the Late Pleistocene and early Holocene are the best known. Evidence that permafrost is degrading in response to the current global warming trend is difficult to ascertain. The dearest signals are probably provided by changes in permafrost distribution in the sub-Arctic regions, at the extreme southern fringes of the discontinuous permafrost zone.</t>
  </si>
  <si>
    <t>Univ Ottawa, Dept Geog, Ottawa, ON K1N 6N5, Canada; Univ Ottawa, Dept Earth Sci, Ottawa, ON K1N 6N5, Canada</t>
  </si>
  <si>
    <t>University of Ottawa; University of Ottawa</t>
  </si>
  <si>
    <t>French, HM (corresponding author), Univ Ottawa, Dept Geog, POB 450,Stn A, Ottawa, ON K1N 6N5, Canada.</t>
  </si>
  <si>
    <t>10.1111/j.1751-8369.1999.tb00303.x</t>
  </si>
  <si>
    <t>WOS:000085228300024</t>
  </si>
  <si>
    <t>Gerland, S; Winther, JG; Orbæk, JB; Ivanov, BV</t>
  </si>
  <si>
    <t>Physical properties, spectral reflectance and thickness development of first year fast ice in Kongsfjorden, Svalbard</t>
  </si>
  <si>
    <t>ARCTIC SEA-ICE; WEDDELL SEA; OPTICAL-PROPERTIES; SNOW; VARIABILITY; ANTARCTICA; SUMMER</t>
  </si>
  <si>
    <t>A ground truth study was performed on first year fast ice in Kongsfjorden, Svalbard, during spring 1997 and 1998. The survey included sea ice thickness monitoring as well as observation of surface albedo, attenuation of optical radiation in the ice, physical properties and texture of snow and sea ice. The average total sea ice thickness in May was about 0.9 m, including a 0.2 m thick snow layer on top. Within a few weeks in both years, the snow melted almost completely, whereas the ice thickness decreased by not more than 0.05 m. During spring, the lower part of the snow refroze into a solid layer. The sea ice became more porous. Temperatures in the sea ice increased and the measurable salinity of the sea ice decreased with time. Due to snow cover thinning and snow grain growth, maximum surface albedo decreased from 0.96 to 0.74, Texture analysis on cores showed columnar ice with large crystals (max. crystal length &gt;0.1 m) below a 0.11 m thick mixed surface layer of granular ice with smaller crystals. In both years, we observed sea ice algae at the bottom part of the ice. This layer has a significant effect on the radiation transmissivity.</t>
  </si>
  <si>
    <t>Norwegian Polar Inst, Polar Environm Ctr, N-9296 Tromso, Norway; Arctic &amp; Antarctic Res Inst, St Petersburg 199397, Russia</t>
  </si>
  <si>
    <t>Norwegian Polar Institute; Arctic &amp; Antarctic Research Institute</t>
  </si>
  <si>
    <t>Gerland, S (corresponding author), Norwegian Polar Inst, Polar Environm Ctr, N-9296 Tromso, Norway.</t>
  </si>
  <si>
    <t>10.1111/j.1751-8369.1999.tb00304.x</t>
  </si>
  <si>
    <t>WOS:000085228300025</t>
  </si>
  <si>
    <t>Liston, GE; Bruland, O; Winther, JG; Elvehoy, H; Sand, K</t>
  </si>
  <si>
    <t>Meltwater production in Antarctic blue-ice areas: sensitivity to changes in atmospheric forcing</t>
  </si>
  <si>
    <t>SURFACE-ENERGY BALANCE; MAUD-LAND; SNOW; CIRCULATION</t>
  </si>
  <si>
    <t>In the near coastal regions of Dronning Maud Land, Antarctica, below-surface ice-melt in blue-ice areas has been observed. The low scattering coefficients of the large-grained blue-ice allow penetration of solar radiation, thus providing an energy source below the ice surface. The sub-surface meltwater is significant enough to show up on remote-sensing imagery in the form of ice-covered lakes. Adjacent snow-accumulation areas have much higher scattering coefficients and consequently limit solar radiation penetration in these regions. These snow and ice surfaces are generally below freezing, and Little surface melting occurs. To assess the response of these melt features to changes in atmospheric forcings such as cloudiness, air temperature, and snow accumulation, a physically-based model of the coupled atmosphere, radiation, snow, and blue-ice system has been developed. The model consists of a heat transfer equation with a spectrally-dependent solar-radiation source term. The penetration of radiation into the snow and blue-ice depends on the surface albedo, and the snow and blue-ice grain size and density. Model simulations show that ice melt occurring in this area is sensitive to potential variations in atmospheric forcing. Under certain conditions more traditional surface melting occurs and, under other conditions, the existing melt processes can be shut down completely. In light of the sensitivity of this system to variations in atmospheric forcing, and the ability to view melt-related features using remote sensing, a tool exists to efficiently monitor variations in Antarctic coastal climate.</t>
  </si>
  <si>
    <t>Colorado State Univ, Dept Atmospher Sci, Ft Collins, CO 80523 USA; SINTEF, Norwegian Hydrotech Lab, N-7034 Trondheim, Norway; Norwegian Polar Inst, Polar Environm Ctr, N-9296 Tromso, Norway; Norwegian Water Resources &amp; Energy Adm, N-0301 Oslo, Norway</t>
  </si>
  <si>
    <t>Colorado State University; SINTEF; Norwegian Polar Institute</t>
  </si>
  <si>
    <t>Colorado State Univ, Dept Atmospher Sci, Ft Collins, CO 80523 USA.</t>
  </si>
  <si>
    <t>10.1111/j.1751-8369.1999.tb00305.x</t>
  </si>
  <si>
    <t>WOS:000085228300026</t>
  </si>
  <si>
    <t>Dietrich, R; Metzig, R; Korth, E; Perlt, J</t>
  </si>
  <si>
    <t>Combined use of field observations and SAR interferometry to study ice dynamics and mass balance in Dronning Maud Land, Antarctica</t>
  </si>
  <si>
    <t>SATELLITE RADAR INTERFEROMETRY; SHEET MOTION; GREENLAND</t>
  </si>
  <si>
    <t>In the region of the Schirmacheroase (71 degrees S, 12 degrees E) various geodetic and glaciological research activities have been carried out in the last decade. Several times three geodetic-glaciological traverses were undertaken to study ice velocity, accumulation and ablation, and ice surface height changes. Repeated ground surveys show a significant decrease in surface heights by about 15 cm/y for a large blue-ice area. This paper presents the first interferometrically derived ice velocity field of the inland ice close to the Schirmacheroase. The interferometric analysis of the synthetic aperture radar (SAR) data is performed in combination with ground-based information. Since only ERS-1&amp;2 tandem mission image couples are available for this region a digital elevation model (DEM) is used to remove the effect of topography. Ice velocities up to 100 m/y are proved interferometrically for this part of the inland ice.</t>
  </si>
  <si>
    <t>TU Dresden, Inst Planetare Geodasie, D-01062 Dresden, Germany</t>
  </si>
  <si>
    <t>Technische Universitat Dresden</t>
  </si>
  <si>
    <t>Dietrich, R (corresponding author), TU Dresden, Inst Planetare Geodasie, D-01062 Dresden, Germany.</t>
  </si>
  <si>
    <t>10.1111/j.1751-8369.1999.tb00306.x</t>
  </si>
  <si>
    <t>WOS:000085228300027</t>
  </si>
  <si>
    <t>Huybrechts, P; Le Meur, E</t>
  </si>
  <si>
    <t>Predicted present-day evolution patterns of ice thickness and bedrock elevation over Greenland and Antarctica</t>
  </si>
  <si>
    <t>CORE RECORD; SHEET; EARTH</t>
  </si>
  <si>
    <t>This paper discusses predicted evolution patterns of present-day changes of ice thickness, surface elevation, and bedrock elevation over the Greenland and Antarctic continents. These were obtained from calculations with dynamic 3-D ice sheet models which were coupled to a visco-elastic solid Earth model. The experiments were initialized over the last two glacial cycles and subsequently averaged over the last 200 years to obtain the current evolution. The calculations indicate that the Antarctic Ice Sheet is still adjusting to the last glacial-interglacial transition yielding a decreasing ice volume and a rising bedrock elevation of the order of several centimetres per year. The Greenland Ice Sheet was found to be close to a stationary state with a mean thickness change of only a few millimetres per year, but the calculations revealed large spatial differences. Predicted patterns over Greenland are characterized by a small thickening over the ice sheet interior and a general thinning of the ablation area. In Antarctica, almost all of the predicted changes are concentrated in the West Antarctic Ice Sheet, which is still retreating at both the Weddell and Ross Sea margins. Over most of both ice sheets, the model indicates that the surface elevation trend is dominated by ice thickness changes rather than by bedrock elevation changes.</t>
  </si>
  <si>
    <t>Alfred Wegener Inst Polar &amp; Marine Res, D-27515 Bremerhaven, Germany; British Antarctic Survey, Cambridge CB3 0ET, England</t>
  </si>
  <si>
    <t>Helmholtz Association; Alfred Wegener Institute, Helmholtz Centre for Polar &amp; Marine Research; UK Research &amp; Innovation (UKRI); Natural Environment Research Council (NERC); NERC British Antarctic Survey</t>
  </si>
  <si>
    <t>Huybrechts, P (corresponding author), Alfred Wegener Inst Polar &amp; Marine Res, Postfach 120161, D-27515 Bremerhaven, Germany.</t>
  </si>
  <si>
    <t>10.1111/j.1751-8369.1999.tb00307.x</t>
  </si>
  <si>
    <t>Green Submitted, Green Accepted</t>
  </si>
  <si>
    <t>WOS:000085228300028</t>
  </si>
  <si>
    <t>Lefauconnier, B; Hagen, JO; Orbæk, JB; Melvold, K; Isaksson, E</t>
  </si>
  <si>
    <t>Glacier balance trends in the Kongsfjorden area, western Spitsbergen, Svalbard, in relation to the climate</t>
  </si>
  <si>
    <t>SUBPOLAR GLACIERS; KONGSVEGEN</t>
  </si>
  <si>
    <t>For the last thirty years, the mean net balance of two glaciers, Austre Broggerbreen and Midre Lovenbreen, has been -0.43 and -0.34m of water equivalent (w.e.), respectively. The mean net balance of Kongsvegen, a tidewater glacier that has been measured since 1987, is 0.11 m w.e. The negative balances of the two first glaciers are driven by the increase in atmospheric temperature which occurred at the end of the Little Ice Age at the beginning of the century. The positive balance of Kongsvegen is due to its higher elevation and larger accumulation area. There is no significant trend in the net balances and no increase of the melting has been detected during the last thirty years. A correlation coefficient of R = 0.83 has been obtained between the net balance of Lovenbreen and the winter precipitation, together with the summer temperature recorded at the neighbouring station of Ny-Angstrom lesund since 1969. With 14 years of data, the correlation coefficient between the net balance and climatic parameters does not increase consistently by introducing any radiation component, but the coefficient correlation between the summer balance of Austre Broggerbreen and summer temperature increases from 0.68 to 0.77 when introducing global and long-wave radiation for July and August. Weather conditions and the frequency of their changes influence the balance between global and long-wave radiation and changes in albedo values.</t>
  </si>
  <si>
    <t>Norwegian Polar Inst, Polar Environm Ctr, N-9296 Tromso, Norway; Univ Oslo, Dept Geog, N-0316 Oslo, Norway</t>
  </si>
  <si>
    <t>Norwegian Polar Institute; University of Oslo</t>
  </si>
  <si>
    <t>Lefauconnier, B (corresponding author), Norwegian Polar Inst, Polar Environm Ctr, N-9296 Tromso, Norway.</t>
  </si>
  <si>
    <t>10.1111/j.1751-8369.1999.tb00308.x</t>
  </si>
  <si>
    <t>WOS:000085228300029</t>
  </si>
  <si>
    <t>Pinglot, JF; Pourchet, M; Lefauconnier, B; Hagen, JO; Isaksson, E; Vaikmäe, R; Kamiyama, K</t>
  </si>
  <si>
    <t>Accumulation in Svalbard glaciers deduced from ice cores with nuclear tests and Chernobyl reference layers</t>
  </si>
  <si>
    <t>MASS-BALANCE; CLIMATE-CHANGE; RADIOACTIVITY; SPITSBERGEN; FINSTERWALDERBREEN</t>
  </si>
  <si>
    <t>Mean net annual balance and the related spatio-temporal variations have been determined on the basis of well-dated artificial layers in shallow ice cores (Chernobyl, 1986, and atmospheric thermonuclear tests, mainly in 1961-62 in Novaya Zemlya). Seventy ice cores from 13 Svalbard glaciers have been analysed. On each glacier, in its accumulation area and at the highest elevation, one ice core was recovered down to about 40 m and sampled for radioactivity measurements to determine the 1986 and 1962-63 layer (1954 was the initial date of the nuclear tests). For each glacier, at least five complementary ice cores from the accumulation area were analysed to determine the Chernobyl reference layer. Six ice cores exhibit both the Chernobyl and nuclear tests layers and are of special interest in this study. This work provides new data on the deposition rates of natural and artificial radioisotopes. Using ice cores samples from the Arctic glaciers, even with superimposed ice accumulation, it is possible to distinguish between the Chernobyl and the nuclear tests fallouts. This work also shows that the mean annual net balance did not significantly change for at least five ice core locations in the Svalbard glaciers for the two periods extending from 1963 to 1986 and from 1986 to the recent date of drilling.</t>
  </si>
  <si>
    <t>Lab Glaciol &amp; Geophys Environm, CNRS, F-38402 St Martin Dheres, France; ADREA, F-38700 Corenc, France; Univ Oslo, Dept Geog, N-0316 Oslo, Norway; Norwegian Polar Res Inst, Polar Environm Ctr, N-9296 Tromso, Norway; Estonian Acad Sci, Inst Geol, EE-0100 Tallinn, Estonia; Natl Inst Polar Res, Tokyo 173, Japan</t>
  </si>
  <si>
    <t>Centre National de la Recherche Scientifique (CNRS); University of Oslo; Norwegian Polar Institute; Estonian Academy of Sciences; Research Organization of Information &amp; Systems (ROIS); National Institute of Polar Research (NIPR) - Japan</t>
  </si>
  <si>
    <t>Lab Glaciol &amp; Geophys Environm, CNRS, BP 96, F-38402 St Martin Dheres, France.</t>
  </si>
  <si>
    <t>Vaikmäe, Rein/H-2691-2019; Vaikmae, Rein/A-8509-2012</t>
  </si>
  <si>
    <t>Vaikmäe, Rein/0000-0002-9837-163X;</t>
  </si>
  <si>
    <t>10.1111/j.1751-8369.1999.tb00309.x</t>
  </si>
  <si>
    <t>WOS:000085228300030</t>
  </si>
  <si>
    <t>Ingólfsson, O; Hjort, C</t>
  </si>
  <si>
    <t>The Antarctic contribution to Holocene global sea level rise</t>
  </si>
  <si>
    <t>LAST GLACIAL MAXIMUM; ICE-SHEET; LATE PLEISTOCENE; ENVIRONMENTAL-CHANGE; BARENTS-SEA; YR BP; HISTORY; SVALBARD; RECORD; DEGLACIATION</t>
  </si>
  <si>
    <t>The Holocene glacial and climatic development in Antarctica differed considerably from that in the Northern Hemisphere. Initial deglaciation of inner shelf and adjacent land areas in Antarctica dates back to between 10-8 Kya, when most Northern Hemisphere ice sheets had already disappeared or diminished considerably. The continued deglaciation of currently ice-free land in Antarctica occurred gradually between ca. 8-5 Kya. A large southern portion of the marine-based Ross Ice Sheet disintegrated during this late deglaciation phase. Some currently ice-free areas were deglaciated as late as 3 Kya. Between 8-5 Kya, global glacio-eustatically driven sea level rose by 10-17 m, with 4-8 m of this increase occurring after 7 Kya. Since the Northern Hemisphere ice sheets had practically disappeared by 8-7 Kya, we suggest that Antarctic deglaciation caused a considerable part of the global sea level rise between 8-7 Kya, and most of it between 7-5 Kya. The global mid-Holocene sea level high stand, broadly dated to between 8-4 Kya, and the Littorina-Tapes transgressions in Scandinavia and simultaneous transgressions recorded from sites e.g. in Svalbard and Greenland, dated to 7-5 Kya, probably reflect input of meltwater from the Antarctic deglaciation.</t>
  </si>
  <si>
    <t>Univ Gothenburg, Ctr Earth Sci, SE-40530 Gothenburg, Sweden; Lund Univ, Dept Quaternary Geol, SE-22362 Lund, Sweden</t>
  </si>
  <si>
    <t>University of Gothenburg; Lund University</t>
  </si>
  <si>
    <t>Univ Gothenburg, Ctr Earth Sci, Box 460, SE-40530 Gothenburg, Sweden.</t>
  </si>
  <si>
    <t>Ingolfsson, Olafur/L-8950-2015</t>
  </si>
  <si>
    <t>Ingolfsson, Olafur/0000-0001-8143-2005</t>
  </si>
  <si>
    <t>10.1111/j.1751-8369.1999.tb00310.x</t>
  </si>
  <si>
    <t>WOS:000085228300031</t>
  </si>
  <si>
    <t>Björn, LO; Callaghan, TV; Gehrke, C; Gwynn-Jones, D; Lee, JA; Johanson, U; Sonesson, M; Buck, ND</t>
  </si>
  <si>
    <t>Effects of ozone depletion and increased ultraviolet-B radiation on northern vegetation</t>
  </si>
  <si>
    <t>UV-B; HIGH IRRADIANCE; PHOTOSYNTHESIS; AMELIORATION; HEATHLAND; GROWTH; PLANT</t>
  </si>
  <si>
    <t>The stratospheric ozone layer has been depleted at high and mid-latitudes as a consequence of man's pollution of the atmosphere, and this results in increasing ultraviolet-B radiation at ground level. We investigate the effects of further radiation increases on plants and ecosystems by irradiating natural sub-Arctic and Arctic vegetation with artificial W-B radiation in field experiments extending over several years. Our experimental sites are located at Abisko, in northern Sweden (68 degrees N), and Adventdalen, on the island of Spitsbergen (78 degrees N). Additional UV-B induced interspecific differences in plant response in terms of reduced (or, in one case, increased) growth, changed morphology and changed pigment content. In some cases effects seem to be accumulated from one year to another. Plant litter decomposition is retarded. We are also studying how UV-B enhancement may affect the interaction between species. In some experiments we combine UV-B enhancement with changes in other factors: carbon dioxide concentration, water availability, and temperature. In some cases the effect of radiation enhancement is modified, or even reversed, by such changes. Over a four year period we did not find any significant radiation induced change in species composition, but based on the effects on individual plant species, such changes can be expected to take place over a longer time.</t>
  </si>
  <si>
    <t>Lund Univ, SE-22100 Lund, Sweden; Abisko Sci Res Stn, SE-98107 Abisko, Sweden; Lund Univ, SE-22362 Lund, Sweden; Univ Wales, Inst Biol Sci, Aberystwyth SY23 3DA, Dyfed, Wales; Univ Sheffield, Dept Anim &amp; Plant Sci, Sheffield Ctr Arctic Ecol, Sheffield S10 SBR, S Yorkshire, England</t>
  </si>
  <si>
    <t>Lund University; Lund University; Aberystwyth University; University of Sheffield</t>
  </si>
  <si>
    <t>Lund Univ, Box 117, SE-22100 Lund, Sweden.</t>
  </si>
  <si>
    <t>Callaghan, Terens V./N-7640-2014</t>
  </si>
  <si>
    <t>Taylor Buck, Nick/0000-0001-8948-5574</t>
  </si>
  <si>
    <t>10.1111/j.1751-8369.1999.tb00311.x</t>
  </si>
  <si>
    <t>WOS:000085228300032</t>
  </si>
  <si>
    <t>Garssen, J; Norval, M; Van Loveren, H</t>
  </si>
  <si>
    <t>UV-B induced immunomodulation: a health risk</t>
  </si>
  <si>
    <t>GENE-RELATED PEPTIDE; IMMUNE SUPPRESSION; ULTRAVIOLET-LIGHT; INDUCED IMMUNOSUPPRESSION; INFECTIOUS-DISEASES; IRRADIATION; RESISTANCE; EXPOSURE; SKIN; RAT</t>
  </si>
  <si>
    <t>The depletion in stratospheric ozone and changes in life-styles are likely to lead to an increased exposure to sunlight, including the UV-B waveband. Such irradiation may induce immunomodulation and therefore have adverse effects on human health. Alterations in immune responses could affect not only photocarcinogenesis but also resistance to infections, certain allergies and autoimmunity, and vaccination efficacy. In the present study, the risk of increased UV-B exposure has been estimated with respect to the resistance to a bacterial (Listeria monocytogenes) and a viral (herpes simplex virus) infection. The data indicate that suberythemal W-B irradiation can have significant effects on immune responses to certain infectious diseases in human subjects.</t>
  </si>
  <si>
    <t>Natl Inst Publ Hlth &amp; Environm, Lab Pathol &amp; Immunobiol, NL-3720 BA Bilthoven, Netherlands; Univ Edinburgh, Dept Med Microbiol, Edinburgh EH8 9AG, Midlothian, Scotland</t>
  </si>
  <si>
    <t>Netherlands National Institute for Public Health &amp; the Environment; University of Edinburgh</t>
  </si>
  <si>
    <t>Garssen, J (corresponding author), Natl Inst Publ Hlth &amp; Environm, Lab Pathol &amp; Immunobiol, POB 1, NL-3720 BA Bilthoven, Netherlands.</t>
  </si>
  <si>
    <t>garssen, johan/I-7159-2016</t>
  </si>
  <si>
    <t>10.1111/j.1751-8369.1999.tb00312.x</t>
  </si>
  <si>
    <t>WOS:000085228300033</t>
  </si>
  <si>
    <t>Hessen, DO; Borgeraas, J; Kessler, K; Refseth, UH</t>
  </si>
  <si>
    <t>UV-B susceptibility and photoprotection of Arctic Daphnia morphotypes</t>
  </si>
  <si>
    <t>ULTRAVIOLET-RADIATION; CUTICULAR PIGMENTATION; ADAPTIVE SIGNIFICANCE; ECOLOGICAL GENETICS; NORWEGIAN DAPHNIA; COMPLEX; PULEX; POPULATIONS; COPEPODA; LINEAGES</t>
  </si>
  <si>
    <t>UV-B tolerance and susceptibility of high Arctic morphotypes of the Daphnia pulex/ D. tenebrosa complex were assessed by in situ experiments at Ny-Angstrom lesund, Svalbard (79 degrees N). Animals from local ponds were exposed to ambient light plus additional UV-B from lamps in a greenhouse facility. Taxonomic affinities did not appear as major determinants of UV susceptibility, but a major difference in UV-B tolerance was seen between morphotypes with pigmented carapaces and those without, the latter being far more susceptible. Assays on levels of carotene and the anti-oxidant enzymes catalase and superoxide dismutase did not reveal clear-cut differences between populations, and could not account for the higher tolerance in pigmented populations. Levels of glutathione transferase were higher in the transparent population, however. In the absence of blue light and UV, laboratory reared animals did not reconstitute their carapace melanization after moulting, indicating that short-wave light is the cue for melanin synthesis. Tests on melanized individuals and individuals of the same population reared indoors through 1-2 moults supported the major role of melanin for UV protection. Periods with high UV exposure during hatching of ephippia could induce shifts in morphotype or clonal dominance.</t>
  </si>
  <si>
    <t>Univ Oslo, Dept Biol, N-0316 Oslo, Norway; Max Planck Inst Limnol, D-24302 Plon, Germany</t>
  </si>
  <si>
    <t>University of Oslo; Max Planck Society</t>
  </si>
  <si>
    <t>Hessen, DO (corresponding author), Univ Oslo, Dept Biol, POB 1027 Blindern, N-0316 Oslo, Norway.</t>
  </si>
  <si>
    <t>Hessen, Dag Olav/AFI-5448-2022; Hessen, Dag/F-4039-2011</t>
  </si>
  <si>
    <t>Hessen, Dag Olav/0000-0002-0154-7847;</t>
  </si>
  <si>
    <t>10.1111/j.1751-8369.1999.tb00313.x</t>
  </si>
  <si>
    <t>WOS:000085228300034</t>
  </si>
  <si>
    <t>Lugg, DJ; Roy, CR</t>
  </si>
  <si>
    <t>Ultraviolet radiation and health effects in the Antarctic</t>
  </si>
  <si>
    <t>CELL-MEDIATED-IMMUNITY; 25-HYDROXYVITAMIN-D</t>
  </si>
  <si>
    <t>With the recognition that global climate change may adversely affect human health, there has been an increase in relevant research worldwide. In the Antarctic medical research has been largely directed at the potential health effects of stratospheric ozone depletion. For over a decade continuous broad-band measurements of ultraviolet radiation (UVR) have been made at all Australian stations. Results of UV measurements are presented and comparisons made with the ozone hole moving over the stations, erythemal UVR increasing by a factor of more than 2.5 over a three day period. During late spring and despite the large difference in latitude, Davis, Antarctica, and Melbourne, Australia, are very similar in erythemal UVR. Antarctic immunological and photobiological research is presented and the role of UVR discussed. Epidemiological data is reviewed for short-term links between UVR and related disease. With increased awareness of the dangers of UVR and consequent changes in sun-related behaviour, the incidence of the acute effects of UVR is much lower than decades ago. As the itinerant Antarctic population spends a maximum of 12-18 months at a time in that location it is an excellent control group for studies on the health effects of UVR on permanent populations at similar latitudes in the Arctic.</t>
  </si>
  <si>
    <t>Antarctic Div, Kingston, Tas 7050, Australia; Australian Radiat Protect &amp; Nucl Safety Agcy, Yallambie, Vic 3085, Australia</t>
  </si>
  <si>
    <t>Australian Antarctic Division</t>
  </si>
  <si>
    <t>Lugg, DJ (corresponding author), Antarctic Div, Kingston, Tas 7050, Australia.</t>
  </si>
  <si>
    <t>10.1111/j.1751-8369.1999.tb00314.x</t>
  </si>
  <si>
    <t>WOS:000085228300035</t>
  </si>
  <si>
    <t>Noonan, FP; De Fabo, EC</t>
  </si>
  <si>
    <t>UV-B radiation: a health risk in the Arctic?</t>
  </si>
  <si>
    <t>NON-HODGKINS-LYMPHOMA; SKIN-CANCER; CONTACT HYPERSENSITIVITY; UROCANIC ACID; ULTRAVIOLET-IRRADIATION; ANTIGEN PRESENTATION; IMMUNE SUPPRESSION; MICE; IMMUNOSUPPRESSION; INDUCTION</t>
  </si>
  <si>
    <t>Seasonal stratospheric ozone depletion in the Arctic has raised the question of whether the associated increases in ultraviolet-B (290-320 nm) constitute a significant health risk in Arctic populations. Increases in skin cancer in Europe and the USA from excess UV-B resulting from ozone depletion have been predicted. Skin cancer is, however, rare in Inuit populations. UV-B also causes a selective down regulation of the immune system which may be a natural regulatory mechanism evolved to prevent autoimmune attack on sunlight-altered skin. The action spectrum for UV-B immunosuppression implicated a unique skin photoreceptor molecule, urocanic acid (UCA), which isomerizes from the trans to the cis isomer on exposure to UV-B, the cis isomer being immunosuppressive. This form of immunosuppression is important in skin cancer and possibly in infectious diseases. The epidemiology of non-Hodgkin's lymphoma shows a relationship with UV exposure, postulated to be via the immunosuppressive effects of UV-B. Cancers which show an excess in Inuit populations include nasopharyngeal and salivary gland cancer. Genetic factors appear to be involved, but these are thought to be virally related cancers possibly associated with the high viral load in these populations. In several studies on non-Arctic populations, salivary gland cancer has been linked to ultraviolet exposure. A potential role for UV-B exposure in these cancers in the Arctic needs to be explored. In view of the high levels of POPs in some Arctic regions, potential interactions between the immunosuppression caused by some of these pollutants and the effects of UV-B need to be investigated.</t>
  </si>
  <si>
    <t>George Washington Univ, Med Ctr, Dept Dermatol, Lab Photobiol &amp; Photoimmunol, Washington, DC 20037 USA</t>
  </si>
  <si>
    <t>George Washington University</t>
  </si>
  <si>
    <t>Noonan, FP (corresponding author), George Washington Univ, Med Ctr, Dept Dermatol, Lab Photobiol &amp; Photoimmunol, Washington, DC 20037 USA.</t>
  </si>
  <si>
    <t>Noonan, Frances/0000-0002-3302-7280</t>
  </si>
  <si>
    <t>10.1111/j.1751-8369.1999.tb00315.x</t>
  </si>
  <si>
    <t>WOS:000085228300036</t>
  </si>
  <si>
    <t>Forbes, BC</t>
  </si>
  <si>
    <t>Land use and climate change on the Yamal Peninsula of north-west Siberia: some ecological and socio-economic implications</t>
  </si>
  <si>
    <t>PERMAFROST; DISTURBANCE; TERRAIN; TUNDRA; RUSSIA; OIL</t>
  </si>
  <si>
    <t>Compared to climate, land use change is expected to comprise a more important component of global change in the coming decades. However, climate is anticipated to surpass land use as a factor later in the next century, particularly in the Arctic. Discussed here are the implications of land use and climate change on the Yamal Peninsula of north-west Siberia, homeland of the Yamal Nenets. Since the discovery of super-giant natural gas fields in the 1960s, extensive exploration has resulted in the direct withdrawal of large areas for infrastructure development and associated disturbance regimes have led to cumulative impacts on thousands of additional hectares of land. The land withdrawals have pushed a relatively consistent or increasing number of reindeer onto progressively smaller parcels of pasture. This has led to excessive grazing and trampling of lichens, bryophytes and shrubs and, in many areas, erosion of sandy soils via deflation. The low Arctic tundra lies entirely within the continuous permafrost zone and ice-rich substrates are widespread. One implication of this is that both anthropogenic and zoogenic disturbance regimes may easily initiate thermokarst and aeolian erosion, leading to significant further losses of pastures. Even without industrial disturbance, a slight change of the climate would result in massive thermokarst erosion. This would have negative consequences equal to or greater than the mechanical disturbances described above. The synergistic effects of land use coupled with climate change therefore have profound implications for the ecosystems of Yamal, as well as the future of the Nenets culture, society and economy.</t>
  </si>
  <si>
    <t>Univ Lapland, Arctic Ctr, SF-96101 Rovaniemi, Finland</t>
  </si>
  <si>
    <t>University of Lapland</t>
  </si>
  <si>
    <t>Forbes, BC (corresponding author), Univ Lapland, Arctic Ctr, Box 122, SF-96101 Rovaniemi, Finland.</t>
  </si>
  <si>
    <t>Forbes, Bruce C./L-4431-2013</t>
  </si>
  <si>
    <t>Forbes, Bruce C./0000-0002-4593-5083</t>
  </si>
  <si>
    <t>10.1111/j.1751-8369.1999.tb00316.x</t>
  </si>
  <si>
    <t>WOS:000085228300037</t>
  </si>
  <si>
    <t>Hacquebord, L</t>
  </si>
  <si>
    <t>The hunting of the Greenland right whale in Svalbard, its interaction with climate and its impact on the marine ecosystem</t>
  </si>
  <si>
    <t>17TH-CENTURY; SEABIRDS; ECOLOGY</t>
  </si>
  <si>
    <t>During the 17th and 18th centuries, tens of thousands of Greenland right whales were killed as a result of extensive European whaling in the coastal waters of the Svalbard archipelago. The author reconstructed these whaling activities, examined how the changing climate affected whaling productivity, and considered the consequences of climate and whaling on the species and on the North Atlantic ecosystem. Annual catch records made it possible to calculate the original size of the whale population; its natural migration pattern in the Greenland Sea could be reconstructed using shipping logs and itineraries. Other written sources revealed that besides human hunting activities, climate change played an important role in the elimination of the Greenland right whale from the Arctic marine ecosystem. This elimination made millions of plankton available for other marine mammals, polar cod and plankton-feeding birds. This has caused a major shift in the food web, changing the marine ecosystem in Svalbard.</t>
  </si>
  <si>
    <t>Univ Groningen, Arctic Ctr, NL-9712 EK Groningen, Netherlands</t>
  </si>
  <si>
    <t>University of Groningen</t>
  </si>
  <si>
    <t>Hacquebord, L (corresponding author), Univ Groningen, Arctic Ctr, Oude Kijk Jatstr 26, NL-9712 EK Groningen, Netherlands.</t>
  </si>
  <si>
    <t>10.1111/j.1751-8369.1999.tb00317.x</t>
  </si>
  <si>
    <t>WOS:000085228300038</t>
  </si>
  <si>
    <t>Hamilton, LC; Haedrich, RL</t>
  </si>
  <si>
    <t>Ecological and population changes in fishing communities of the North Atlantic Arc</t>
  </si>
  <si>
    <t>COD GADUS-MORHUA; THERMOHALINE CIRCULATION; CLIMATE SYSTEM; NEWFOUNDLAND; OCEAN; RECRUITMENT; LABRADOR; COLLAPSE; SHELF</t>
  </si>
  <si>
    <t>In the decades since World War LT, large-scale ecological changes have affected fishing communities across the northern Atlantic. Substantial declines hit their historically important resources, most notably the Atlantic cod. Such declines were often accompanied by increases in other, previously less exploited, species. Interactions between fishing pressure and environmental variation have driven ecological change. Ecological changes in turn reshaped the fisheries, contributing to altered demographic profiles of fisheries-dependent communities. Many places lost population, especially through out-migration of young adults. Broad social forces also contributed to these trends, but the timing and geographical details of population changes often correspond to specific fisheries/ecological events.</t>
  </si>
  <si>
    <t>Univ New Hampshire, Dept Sociol, Durham, NH 03824 USA; Mem Univ Newfoundland, Dept Biol, St John, NF A1C 5S7, Canada</t>
  </si>
  <si>
    <t>University System Of New Hampshire; University of New Hampshire; Memorial University Newfoundland</t>
  </si>
  <si>
    <t>Hamilton, LC (corresponding author), Univ New Hampshire, Dept Sociol, Durham, NH 03824 USA.</t>
  </si>
  <si>
    <t>Hamilton, Lawrence/0000-0003-1977-0649</t>
  </si>
  <si>
    <t>10.1111/j.1751-8369.1999.tb00318.x</t>
  </si>
  <si>
    <t>WOS:000085228300039</t>
  </si>
  <si>
    <t>Lange, MA; Cohen, SJ; Kuhry, P</t>
  </si>
  <si>
    <t>Integrated global change impact studies in the Arctic: the role of the stakeholders</t>
  </si>
  <si>
    <t>Responses to global change impacts require the specification of mitigation and adaptation options. Integrated regional impact studies provide some of the information needed for rational decision making. In order to carry out a comprehensive impact study, the involvement of stakeholders in the planning and execution of the study is seen as a necessary prerequisite for an acceptance of its conclusions by the broad public. One way to pursue such an involvement is through a scientist-stakeholder collaborative. Such a collaborative, for instance institutionalized through a joint scientist-stakeholder steering committee addressing issues related to mutual communication and the integration of individual study results, offers a number of additional advantages. The experience of local residents and the utilization of traditional knowledge may provide insight and expertise inaccessible to scientific investigations. Within the Barents Sea Impact Study, the involvement of stakeholders has been given significant weight early on. One of the main instruments employed in the stakeholder collaborative is the BASIS Information Office. However, given the diversity of backgrounds and interests of stakeholders from four different countries, scientist-stakeholder collaboration represents a significant challenge within BASIS. This notwithstanding, we consider the advantages gained worth the extra effort.</t>
  </si>
  <si>
    <t>Univ Munster, Inst Geophys, D-48149 Munster, Germany; Environm Canada, Adaptat &amp; Impacts Res Grp, Vancouver, BC V6T 1Z2, Canada; Univ British Columbia, Sustainable Dev Res Inst, Vancouver, BC V6T 1Z2, Canada; Univ Lapland, Arctic Ctr, BASIS Informat Off, SF-96101 Rovaniemi, Finland</t>
  </si>
  <si>
    <t>University of Munster; Environment &amp; Climate Change Canada; University of British Columbia; University of Lapland</t>
  </si>
  <si>
    <t>Lange, MA (corresponding author), Univ Munster, Inst Geophys, Corrensstr 24, D-48149 Munster, Germany.</t>
  </si>
  <si>
    <t>10.1111/j.1751-8369.1999.tb00319.x</t>
  </si>
  <si>
    <t>WOS:000085228300040</t>
  </si>
  <si>
    <t>Young, OR</t>
  </si>
  <si>
    <t>The interplay of global and polar regimes</t>
  </si>
  <si>
    <t>The growing salience of interactions between the functionally broad but geographically narrow regimes for the polar regions and the geographically broad but functionally specific regimes emerging to deal with global environmental changes directs attention to the issue of institutional interplay. Interplay among regimes can cause mutual interference or foster synergy. Adopting a pragmatic stance that assumes no fundamental changes in international society, this essay suggests ways to: (1) adapt global regimes dealing with ozone depletion, climate change and biodiversity to the conditions prevailing in the polar regions; and (2) ensure that concerns arising in the polar regions receive serious consideration in global forums. Specific suggestions range from modest initiatives involving monitoring and assessment to more ambitious initiatives, such as the establishment of a chamber of regions in global regimes.</t>
  </si>
  <si>
    <t>Dartmouth Coll, Inst Arctic Studies, Hanover, NH 03755 USA</t>
  </si>
  <si>
    <t>Dartmouth College</t>
  </si>
  <si>
    <t>Young, OR (corresponding author), Dartmouth Coll, Inst Arctic Studies, 6214 Fairchild, Hanover, NH 03755 USA.</t>
  </si>
  <si>
    <t>10.1111/j.1751-8369.1999.tb00320.x</t>
  </si>
  <si>
    <t>WOS:000085228300041</t>
  </si>
  <si>
    <t>Ozouf-Costaz, C; Pisano, E; Thaeron, C; Hureau, JC</t>
  </si>
  <si>
    <t>Seret, B; Sire, JY</t>
  </si>
  <si>
    <t>Karyological survey of the notothenioid fish occurring in Adelie Land (Antarctica)</t>
  </si>
  <si>
    <t>PROCEEDINGS OF THE 5TH INDO-PACIFIC FISH CONFERENCE</t>
  </si>
  <si>
    <t>5th Indo-Pacific Fish Conference</t>
  </si>
  <si>
    <t>NOV 03-08, 1997</t>
  </si>
  <si>
    <t>NOUMEA, NEW CALEDONIA</t>
  </si>
  <si>
    <t>notothenioidei; PSE; Antarctica; Adelie Land; chromosomes; intra-specific polymorphism</t>
  </si>
  <si>
    <t>ORGANIZER REGIONS; CHROMOSOME</t>
  </si>
  <si>
    <t>One channichthyid (Chionodraco hamatus) and six nototheniids (Notothenia coriiceps, Trematomus hansoni, T. pennellii, T. bernacchii, T, newnesi, T. loennbergi) have been studied karyologically using conventional Giemsa-, silver-, CMA(3)-stainings and C-banding. The comparisons of the results from these Adelie Land specimens with those already obtained in other Antarctic sectors for the same species show substantial intra-specific variation at both chromosomal macro- and microstructure levels, and also variability in occurrence of differentiated sex chromosomes. The rearrangements producing those diverse karyomorphs may have an adaptative character and could be used for identification of and comparison between populations.</t>
  </si>
  <si>
    <t>Museum Natl Hist Nat, Ichtyol Gen &amp; Appl Lab, F-75231 Paris 05, France</t>
  </si>
  <si>
    <t>Museum National d'Histoire Naturelle (MNHN)</t>
  </si>
  <si>
    <t>Ozouf-Costaz, C (corresponding author), Museum Natl Hist Nat, Ichtyol Gen &amp; Appl Lab, 43 Rue Cuvier, F-75231 Paris 05, France.</t>
  </si>
  <si>
    <t>SOCIETE FRANCAISE ICHTYOLOGIE</t>
  </si>
  <si>
    <t>43 RUE CUVIER, 75231 PARIS, CEDEX 05, FRANCE</t>
  </si>
  <si>
    <t>2-9507330-5-0</t>
  </si>
  <si>
    <t>Ecology; Fisheries; Marine &amp; Freshwater Biology</t>
  </si>
  <si>
    <t>Environmental Sciences &amp; Ecology; Fisheries; Marine &amp; Freshwater Biology</t>
  </si>
  <si>
    <t>BP33Q</t>
  </si>
  <si>
    <t>WOS:000084731300040</t>
  </si>
  <si>
    <t>Dudley-Rowley, M</t>
  </si>
  <si>
    <t>Zubrin, RM; Zubrin, M</t>
  </si>
  <si>
    <t>The outward course of empire: The hard, cold lessons from Euro-American involvement in the terrestrial polar regions</t>
  </si>
  <si>
    <t>PROCEEDINGS OF THE FOUNDING CONVENTION OF THE MARS SOCIETY, PT I</t>
  </si>
  <si>
    <t>Founding Convention of the Mars-Society</t>
  </si>
  <si>
    <t>AUG 13-16, 1998</t>
  </si>
  <si>
    <t>BOULDER, CO</t>
  </si>
  <si>
    <t>In the late 1800s and the early part of the 20th century, American explorers had a vision of the polar regions as a logical extension of Manifest Destiny. Vilhjalmur Stefansson, however, had a different viewpoint, referring to the entree into the Arctic by Euro-Americans as the northward course of empire. popular history would have it seem as if this vision came true. But, approximately 100 years later, we substantially fall short of these explorers' dreams. Most American claims in the Arctic fell through, not from lack of interest by average Americans, but the lack of government sponsorship, backing, and going back on promises made. Even the purchase of Alaska from Imperial Russia was a transaction that was almost not made. In expedition after expedition, men, women, and children died in the field waiting for pick-up from ships that would never come. Ironically, what interest there was for the Arctic eclipsed a promising beginning of interest in the Antarctic. American explorers either had to pass themselves off as foreign nationals to join the expeditions of other countries or use their own money to launch expeditions to the southern continent. Interest in aviation caused the government to establish the United States Antarctic Service (USAS) and bases were established to protect territorial claims. However, the onset of World War II drew resources away and the bases were closed, and when the United States returned to Antarctica, it was with a different strategy of scientific investigation. In 1959, twelve nations signed the Antarctic Treaty, agreed to use Antarctica for peaceful purposes, froze territorial claims, and forbade new ones. The Antarctic Treaty set the tone for similar agreements among nations which dictated similar use of the entire Cosmos. This presentation points out that the two polar regions represent two separate kinds of human progress, and reviews lessons from Euro-American polar exploration useful to the private Mars initiative, making recommendations for the public outreach and financing of the venture.</t>
  </si>
  <si>
    <t>OPS Alaska, Fairbanks, AK 99709 USA</t>
  </si>
  <si>
    <t>Dudley-Rowley, M (corresponding author), OPS Alaska, 2664 Montana Rd, Fairbanks, AK 99709 USA.</t>
  </si>
  <si>
    <t>0-912183-12-8</t>
  </si>
  <si>
    <t>BN78J</t>
  </si>
  <si>
    <t>WOS:000082928900008</t>
  </si>
  <si>
    <t>Micheels, KA</t>
  </si>
  <si>
    <t>An RLV/shuttle compatible habitation system</t>
  </si>
  <si>
    <t>PROCEEDINGS OF THE FOUNDING CONVENTION OF THE MARS SOCIETY, PT II</t>
  </si>
  <si>
    <t>The non-availability of Heavy Lift Launch Vehicles mandates use of the Shuttle or proposed RLV to transport material for Human Mars exploration to LEO. Current Mars exploration scenarios make use of landers and habitats compatible only with HLLVs. The size of the Habitat elements prevents economical delivery to polar test sites or practical use in other terrestrial extreme environments. A study of technologies was conducted regarding deployment of habitats capable of transport via LC-130H Antarctic logistics aircraft or integration with a robotic lander vehicle with launch to LEO via Shuttle or RLV. The result was a logistics support module capable of functioning as an inflatable deployment system. The module design enables Mars landing and surface transport via a robotic rover and facilitates establishment of a surface base derived from the current Mars reference mission.</t>
  </si>
  <si>
    <t>Surface Extreme Environm Dwelling Syst, Auburn, CA 95603 USA</t>
  </si>
  <si>
    <t>Micheels, KA (corresponding author), Surface Extreme Environm Dwelling Syst, 357 Boardman St 2, Auburn, CA 95603 USA.</t>
  </si>
  <si>
    <t>0-912183-13-6</t>
  </si>
  <si>
    <t>BN78K</t>
  </si>
  <si>
    <t>WOS:000082929000012</t>
  </si>
  <si>
    <t>Dupree, G; Berkson, J; Osmer, S; Klingler, C; Pond, R</t>
  </si>
  <si>
    <t>Chung, JS; Frederking, RMW; Saeki, H; Moshagen, H; Roesset, JM</t>
  </si>
  <si>
    <t>USCGC HEALY (WAGB-20): A modern platform to support polar research</t>
  </si>
  <si>
    <t>PROCEEDINGS OF THE NINTH (1999) INTERNATIONAL OFFSHORE AND POLAR ENGINEERING CONFERENCE, VOL II, 1999</t>
  </si>
  <si>
    <t>International Offshore and Polar Engineering Conference Proceedings</t>
  </si>
  <si>
    <t>9th International Offshore and Polar Engineering Conference (ISOPE-99)</t>
  </si>
  <si>
    <t>MAY 30-JUN 04, 1999</t>
  </si>
  <si>
    <t>BREST, FRANCE</t>
  </si>
  <si>
    <t>The USCGC MEALY (WAGB-20), the newest polar icebreaker ship to be commissioned by the United States Coast Guard, was built by Avondale Industries, Inc. The primary mission of the USCGC MEALY is to function as a world-class high latitude science research platform. This served as the premise for the design and layout of the vessel. The USCGC MEALY is intended for employment in icebreaking operations during any season in the Arctic and Antarctic. All ship systems have been designed to function for extended winter operations in areas, including intentional wintering over. The USCGC MEALY design includes the latest in high latitude research equipment and systems, integrated by an interoperable modular Science Data Network (SDN). The SDN uses a fiber optic cable plant for scientific and navigational data. This highly integrated system uses computer workstations to enhance the conduct of scientific missions through automated control and data collection, data display and recording, data backup, data sharing, data recall, data playback, and archiving. In addition to science, polar missions for this vessel include service as an ice escort to supply vessels supporting polar installations and bases. Science working spaces and labs have been designed to facilitate the latest approaches and techniques for oceanographic and ice research. Additional space is provided for modular working and storage vans. With the use of text, pictures, and graphics, this paper will seek to describe the mission requirements and the capabilities of the USCGC MEALY to meet those missions. The paper will detail the functional, engineering, and habitability attributes of the vessel.</t>
  </si>
  <si>
    <t>US Coast Guard, Washington, DC 20593 USA</t>
  </si>
  <si>
    <t>Dupree, G (corresponding author), US Coast Guard, Washington, DC 20593 USA.</t>
  </si>
  <si>
    <t>INTERNATIONAL SOCIETY OFFSHORE&amp; POLAR ENGINEERS</t>
  </si>
  <si>
    <t>CUPERTINO</t>
  </si>
  <si>
    <t>PO BOX 189, CUPERTINO, CA 95015-0189 USA</t>
  </si>
  <si>
    <t>1098-6189</t>
  </si>
  <si>
    <t>1-880653-41-9</t>
  </si>
  <si>
    <t>INT OFFSHORE POLAR E</t>
  </si>
  <si>
    <t>Automation &amp; Control Systems; Engineering, Marine; Geosciences, Multidisciplinary</t>
  </si>
  <si>
    <t>Automation &amp; Control Systems; Engineering; Geology</t>
  </si>
  <si>
    <t>BN17W</t>
  </si>
  <si>
    <t>WOS:000080987700099</t>
  </si>
  <si>
    <t>Klepikov, A; Malek, V; Finkelshtein, A; Poplin, JP; Wang, AT; Beketsky, S</t>
  </si>
  <si>
    <t>Chung, JS; Kamyshev, MA; Tsvetsinsky, AS</t>
  </si>
  <si>
    <t>Ice gouge mapping survey off the northeastern coast of Sakhalin Island</t>
  </si>
  <si>
    <t>PROCEEDINGS OF THE SECOND (1999) ISOPE EUROPEAN OFFSHORE MECHANICS SYMPOSIUM: PIPELINES: CONSTRUCTION AND OPERATIONS, ENVIRONMENTS AND DATABASE, ENGINEERING AND DESIGN, MATERIALS</t>
  </si>
  <si>
    <t>2nd ISOPE European Offshore Mechanics Symposium (ISOPE-EUROMS-99)</t>
  </si>
  <si>
    <t>JUN 07-09, 1999</t>
  </si>
  <si>
    <t>MOSCOW, RUSSIA</t>
  </si>
  <si>
    <t>Arctic &amp; Antarctic Res Inst, St Petersburg 199226, Russia</t>
  </si>
  <si>
    <t>Klepikov, A (corresponding author), Arctic &amp; Antarctic Res Inst, St Petersburg 199226, Russia.</t>
  </si>
  <si>
    <t>1-880653-44-3</t>
  </si>
  <si>
    <t>Engineering, Marine</t>
  </si>
  <si>
    <t>BP67P</t>
  </si>
  <si>
    <t>WOS:000085827100034</t>
  </si>
  <si>
    <t>de Sousa, SN; Sardessai, SD</t>
  </si>
  <si>
    <t>Chung, JS</t>
  </si>
  <si>
    <t>Baseline studies and evaluation of effects of surface discharge of deep-sea mining - Index area</t>
  </si>
  <si>
    <t>PROCEEDINGS OF THE THIRD (1999) ISOPE OCEAN MINING SYMPOSIUM</t>
  </si>
  <si>
    <t>3rd ISOPE Ocean Mining Symposium</t>
  </si>
  <si>
    <t>NOV 08-10, 1999</t>
  </si>
  <si>
    <t>GOA, INDIA</t>
  </si>
  <si>
    <t>effects; discharge; nodule mining; Central Indian Basin</t>
  </si>
  <si>
    <t>SOUTH INDIAN-OCEAN; HYDROGRAPHIC SECTION; SEAWATER</t>
  </si>
  <si>
    <t>Hydrochemical properties of the water column were measured at the Indian Experiment (INDEX) site in the Central Indian Ocean Basin, as part of baseline studies for the environmental impact assessment of benthic disturbance. The surface mired layer was very thin (similar to 40m) and was characterized by high oxygen, high pH and low nutrients with nitrate limiting productivity. Below this layer three distinct layers could be identified, based on their hydrochemical properties: The Salinity Maximum layer which appeared at 125-175m depth was associated with shadow oxygen minimum (1.25ml/l) and weak maxima in nutrients; Tbe Oxygen Maximum Layer in the depth range 250-500m was associated with high oxygen concentrations (4.5ml/l), high pH (&gt;7.8) and weak minima in nutrients; The Salinity Minimum Layer corresponding to the Antarctic Intermediate Water was seen as a narrow band, about 400m thick in the depth range 800 -1200m. The bottom water was characterized by high oxygen and high nutrients. An evaluation of possible effects of surface discharge of mining fines - a slurry consisting of fine nodule fragments, bottom water and sediments - suggests that the discharge, with an expected solid content of 50g/l, will induce increased primary production, through nitrate enrichment in nitrogen limited surface waters, of the order of 1.343 x 10(-2)g fixed carbon per litre of discharge, while the organic C associated with the sediment will result in a net oxygen demand of 306ml per litre of discharge. Based on the above figures and the baseline characteristics of the water column, a dilation factor of 0.98 x 10(-4) has been calculated for the surface discharge to have non-discernible effects.</t>
  </si>
  <si>
    <t>Natl Inst Oceanog, Panaji 403004, Goa, India</t>
  </si>
  <si>
    <t>Council of Scientific &amp; Industrial Research (CSIR) - India; CSIR - National Institute of Oceanography (NIO)</t>
  </si>
  <si>
    <t>de Sousa, SN (corresponding author), Natl Inst Oceanog, Panaji 403004, Goa, India.</t>
  </si>
  <si>
    <t>1-880653-45-1</t>
  </si>
  <si>
    <t>Engineering, Marine; Oceanography; Mining &amp; Mineral Processing</t>
  </si>
  <si>
    <t>Engineering; Oceanography; Mining &amp; Mineral Processing</t>
  </si>
  <si>
    <t>BP34D</t>
  </si>
  <si>
    <t>WOS:000084757500022</t>
  </si>
  <si>
    <t>Babu, VR; Murty, VSN; Suryanarayana, A; Beena, BS</t>
  </si>
  <si>
    <t>Watermass structure at Benthic Disturbance Site (INDEX area) and anticipated mining effects on hydro-physical properties</t>
  </si>
  <si>
    <t>environmental impacts; ocean mining effects; benthic disturbance; watermass structure; Central Indian Ocean Basin; INDEX</t>
  </si>
  <si>
    <t>SOUTH EQUATORIAL CURRENT; INDIAN-OCEAN</t>
  </si>
  <si>
    <t>Watermass properties were obtained in the Indian Deep Sea Experiment (INDEX) area during pre- (27 May - 8 July 1997) and post- (22 July - 5 September, 1997) benthic disturbance periods respectively Watermass (Temperature-Salinity: T-S) structure was characterised with the presence of North Indian Deep Waters having a salinity maximum of 34.75 psu around 45.7 sigma(4) isopycnal. A near-depth uniformity in temperature and salinity in the abyssal water column was due to Antarctic Bottom Watermass with 45.95 sigma(4). The light transmission profiles showed very negligible changes (1 to 2%) from pre- to post- disturbance periods suggesting that the bottom waters were not affected by the sediment plumes. The intrusion depths of surface-discharged mining effluents were assessed and the anticipated mining effects in surface layers are discussed.</t>
  </si>
  <si>
    <t>Natl Inst Oceanog, Dept Phys Oceanog, Dona Paula 403004, Goa, India</t>
  </si>
  <si>
    <t>Babu, VR (corresponding author), Natl Inst Oceanog, Dept Phys Oceanog, Dona Paula 403004, Goa, India.</t>
  </si>
  <si>
    <t>Suryanarayana, Ayyagari/C-3567-2009; Babu, Ramesh/KGK-7434-2024</t>
  </si>
  <si>
    <t>WOS:000084757500032</t>
  </si>
  <si>
    <t>Rhoton, QL</t>
  </si>
  <si>
    <t>ISEE; ISEE</t>
  </si>
  <si>
    <t>Surgical blasting for paleontological evidence, Dominion Range, Antarctica</t>
  </si>
  <si>
    <t>PROCEEDINGS OF THE TWENTY-FIFTH ANNUAL CONFERENCE ON EXPLOSIVES AND BLASTING TECHNIQUE, VOL I</t>
  </si>
  <si>
    <t>25th Annual Conference on Explosives and Blasting Technique</t>
  </si>
  <si>
    <t>FEB 07-10, 1999</t>
  </si>
  <si>
    <t>NASHVILLE, TN</t>
  </si>
  <si>
    <t>The use of explosives in a surgical manner was approved to facilitate, due to time constraints, an extremely significant paleontological find in the Plunket Point area of the Dominion Range, Antarctica. The organic material revealed by surgical blasting techniques may have altered basic scientific dogma on Antarctic glaciation theory. Relying on findings from two previous expeditions, a decision was made to use small amounts of explosives to loosen sedimentary formations in a glacial moraine area. Our hope was to reveal specimens from the last major Antarctic freeze-down, a supposed fifteen to twenty million years ago. A team of nine persons was put in at a blue ice runway on the Mill Glacier by a ski-equipped Navy C-130 Hercules. After many sojournes on foot and snowmobile, an area was chosen above the moraine of the Beardmore Glacier, Holes were drilled horizontally using a gas powered Cobra drill into the uplifted sedimentary formations. The big payoff came on Christmas morning when we discovered a compressed four- to six-inch thick layer of leaves that had not petrified over a span of 2.8 to 3.2 million years-a newly discovered species of the Southern Beech tree.</t>
  </si>
  <si>
    <t>INT SOC EXPLOSIVES ENGINEERS</t>
  </si>
  <si>
    <t>CLEVELAND</t>
  </si>
  <si>
    <t>29100 AURORA ROAD, CLEVELAND, OH 44139-1800 USA</t>
  </si>
  <si>
    <t>Engineering, Civil; Engineering, Geological</t>
  </si>
  <si>
    <t>BQ14G</t>
  </si>
  <si>
    <t>WOS:000087293700012</t>
  </si>
  <si>
    <t>Whitworth, T; Warren, BA; Nowlin, WD; Rutz, SB; Pillsbury, RD; Moore, MI</t>
  </si>
  <si>
    <t>On the deep western-boundary current in the Southwest Pacific Basin</t>
  </si>
  <si>
    <t>PROGRESS IN OCEANOGRAPHY</t>
  </si>
  <si>
    <t>TRANSPACIFIC HYDROGRAPHIC SECTIONS; ANTARCTIC CIRCUMPOLAR CURRENT; 43 DEGREES S; 28 DEGREES S; INDIAN-OCEAN; ABYSSAL CIRCULATION; SCORPIO EXPEDITION; DRAKE PASSAGE; WATER; VARIABILITY</t>
  </si>
  <si>
    <t>The principal system of deep western-boundary currents in the subtropical South Pacific is. that in the Southwest Pacific Basin, which transports Circumpolar Deep Water northward and Pacific Deep Water (at mid-depths) southward. The WOCE PCM9 current-meter array was placed across this system at Lat. 32 degrees 30'S in order to measure the mean transports of those components and their variations. The array, consisting of 60 current meters on 20 moorings, extended 1000 km eastward from the Tonga-Kermadec Ridge. and remained in place for 22 months, between February 1991 and December 1992. The instruments were situated approximately at 2500 m, 4000 m, and close to the bottom. CTD sections (including dissolved oxygen and nutrients) were occupied along the array during its deployment and recovery, and, in between, by the WOCE transpacific section P6. Density sections were used to construct objectively-mapped fields of geostrophic velocity, which were adjusted using current-meter data as integration constants to provide snapshots of the full velocity field. The resulting adjusted transports sometimes differed substantially from relative geostrophic transports, but agreed quite well with transports calculated from current records alone. A time series of volume transport was derived from objectively-mapped three-day-averaged currents. The boundary-current system at PCM9 was essentially 700 hm wide, with flow most intense on the flank of the Tonga-Kermadec Ridge, where the maximum mean velocity vector had a magnitude of 9.6 cm s(-1). The time-averaged transport. integrated horizontally across the array and from 2000 m to the bottom, was 16.0 x 10(6) +/- 11.9 x 10(6) m(3) s(-1) northward. Of this roughly 15.8 x 10(6) +/- 9.2 x 10(6) m(3) s(-1) was northward flow of Circumpolar Deep Water. and 0.2 x 10(6) +/- 5.1 x 10(6) m(3) s(-1) was northward flow of Pacific Deep Water. Even for the 22-month mean, however, the velocity field was strikingly banded vertically, and there was little impression of a zero-velocity surface following the demarcation between Circumpolar Deep Water and Pacific Deep Water across the section; only in the horizontally integrated sense was there a correspondence between water masses and the variation of transport with depth. The very large variability in transport is associated with prominent oscillations of periods near 50 days. 20 days, and 10 days, as well as with strong events distributed irregularly across the array that lead to a concentration of spectral energy in a band between 40 and 200 days. The origins of these disturbances are not known. While unexpectedly large changes in the density field near the Tonga-Kermadec Ridge were observed from one cruise to another, the huge fluctuations in transport seemed to be connected more with velocity signals varying only slowly with depth. No measurable changes in water-mass properties were detected by the cruises during the 22 months of deployment, but the salinity was about 0.01 lower at the salinity maximum in the Circumpolar Deep Water than it had been 25 years earlier. The direct, long-term transport measurement suggests that the total upwelling at 2000 m north of 30 degrees S is 13 x 10(6) m(3) s(-1), corresponding to an areally-averaged vertical velocity of 1.0 x 10(-5) cm s(-1). This is substantially smaller than earlier values, and it helps to reduce estimates of the global deep upwelling closer to those of the global deep downwelling. The small value of Pacific Deep Water transport in the boundary-current system, relative to that of Circumpolar Deep Water, implies, within the framework of the Stommel-Arons dynamics, that little of the deep water entering the Pacific from the Antarctic returns southward at mid-depths. If so, then some present-day circulation schemes and budgetary constructions need to be re-assessed. (C) 1999 Elsevier Science Ltd. All rights reserved.</t>
  </si>
  <si>
    <t>Texas A&amp;M Univ, Dept Oceanog, College Stn, TX 77843 USA; Woods Hole Oceanog Inst, Woods Hole, MA 02543 USA; Oregon State Univ, Coll Ocean &amp; Atmospher Sci, Corvallis, OR 97331 USA; Natl Inst Water &amp; Atmospher Res, Wellington 4, New Zealand</t>
  </si>
  <si>
    <t>Texas A&amp;M University System; Texas A&amp;M University College Station; Woods Hole Oceanographic Institution; Oregon State University; National Institute of Water &amp; Atmospheric Research (NIWA) - New Zealand</t>
  </si>
  <si>
    <t>Texas A&amp;M Univ, Dept Oceanog, College Stn, TX 77843 USA.</t>
  </si>
  <si>
    <t>0079-6611</t>
  </si>
  <si>
    <t>1873-4472</t>
  </si>
  <si>
    <t>PROG OCEANOGR</t>
  </si>
  <si>
    <t>Prog. Oceanogr.</t>
  </si>
  <si>
    <t>+</t>
  </si>
  <si>
    <t>10.1016/S0079-6611(99)00005-1</t>
  </si>
  <si>
    <t>210WC</t>
  </si>
  <si>
    <t>WOS:000081126800001</t>
  </si>
  <si>
    <t>Orsi, AH; Johnson, GC; Bullister, JL</t>
  </si>
  <si>
    <t>Circulation, mixing, and production of Antarctic Bottom Water</t>
  </si>
  <si>
    <t>WEDDELL-SCOTIA CONFLUENCE; WESTERN SOUTH-ATLANTIC; DEEP-WATER; DRAKE PASSAGE; HYDROGRAPHIC SECTION; CIRCUMPOLAR CURRENT; INDIAN-OCEAN; SOUTHWESTERN ATLANTIC; NORWEGIAN-GREENLAND; MAUD RISE</t>
  </si>
  <si>
    <t>The Antarctic source of bottom water to the abyssal layer of the World Ocean is examined, as well as its large-scale flow pattern and ultimate entrainment rate into the deep water above. We make use of the available high-quality station data in the Southern Ocean to construct bottom maps of neutral density and mean property maps, including Chlorofluorocarbon (CFC), for the abyssal layer underneath a selected neutral density surface. The maximum density at the sill depth of Drake Passage is used to distinguish between the voluminous deep water mass that is a continuous component of the Antarctic Circumpolar Current from the relatively denser bottom water originated along the Antarctic continental margins. Based on water density, Antarctic Bottom Water (AABW) is defined here generically to include all volumes of non-circumpolar water of Antarctic origin. Over the shelf regime multiple localized sources of specific AABW types contribute to the abyssal layer of the adjacent Antarctic basins. Characteristics of these dense bottom waters reflect closely those observed on the parent Shelf Water mass. Spreading paths of newly-formed deep and bottom waters over the slope regime, and their subsequent oceanic circulation patterns are analyzed on the basis of global property maps for the AABW layer. Interior mixing and interbasin exchanges of AABW are deduced from mean characteristic curves following the southern streamline of the Antarctic Circumpolar Current. Outflow and mixing of AABW from the Weddell Sea to the Argentine Basin is depicted using density and CFC distributions of two zonal hydrographic lines. Recirculation and mixing of deep and bottom waters within the Weddell Gyre are also detailed using a meridional section along the Greenwich Meridian. The strength of all localized sources of AABW combined is estimated by two independent approaches. An estimate of the total production rate of AABW is calculated based on the oceanic CFC budget for the AABW layer offshore of the 2500-m isobath. The sum of all downslope inputs of well-ventilated bottom water types underneath the top isopycnal must account for the measured CFC content in the bottom layer. The resulting total AABW production rate is about 8 Sv, which is a conservative figure that neglects the loss of CFC-bearing waters across the top isopycnal in recent years, whereas about 9.5 Sv is calculated assuming a well-mixed bottom layer. Making use of their transient nature, CFC distributions at the top of the AABW layer indicate that more direct and rapid entrainment of CFC-rich bottom waters below occurs over localized areas with relatively strong upwelling rates and enhanced vertical mixing. A second, more ad-hoc but independent oceanic mass budget of the bottom layer is also constructed. A typical basin-wide rate of deep upwelling of 3 x 10(-7) m s(-1) requires 10 Sv (1 Sv = 10(6) m(3) s(-1)) of newly-formed AABW to sink down the slope around Antarctica. We have also formulated a spatial distribution of deep upwelling on the isopycnal at the top of the AABW. It is expressed as a combination of wind, topographic, and turbulent components, which in turn are functions of the isopycnal depth, bottom depth, and bottom layer thickness. This non-uniform upwelling field yields about 12 Sv of AABW exported across the top isopycnal. Fortuitously, the overall average of upward speed at the top isopycnal (3.7 x 10(-7) m s(-1)) compares well with previous estimates of deep upwelling in the northern basins. A series of likely sites for strong vertical entrainment of AABW are clearly identified in the modeled distribution of deep upwelling, consonant with the observed CFC distributions on the top isopycnal. Altogether, regions with relatively high upwelling rates (&gt; 5 x 10(-7) m s(-1)) occupy only a quarter of the total areal extent of the top isopycnal, but they account for as much as 45% of the total vertical transport. (C) 1999 Elsevier Science Ltd. All rights reserved.</t>
  </si>
  <si>
    <t>Univ Washington, Joint Inst Study Atmosphere &amp; Oceans, Seattle, WA 98125 USA; NOAA, Pacific Marine Environm Lab, Seattle, WA 98115 USA</t>
  </si>
  <si>
    <t>University of Washington; University of Washington Seattle; National Oceanic Atmospheric Admin (NOAA) - USA</t>
  </si>
  <si>
    <t>Univ Washington, Joint Inst Study Atmosphere &amp; Oceans, Seattle, WA 98125 USA.</t>
  </si>
  <si>
    <t>aorsi@tamu.edu</t>
  </si>
  <si>
    <t>Johnson, Gregory C/I-6559-2012</t>
  </si>
  <si>
    <t>Johnson, Gregory C/0000-0002-8023-4020</t>
  </si>
  <si>
    <t>10.1016/S0079-6611(99)00004-X</t>
  </si>
  <si>
    <t>WOS:000081126800002</t>
  </si>
  <si>
    <t>McConville, MJ; Wetherbee, R; Bacic, A</t>
  </si>
  <si>
    <t>Subcellular location and composition of the wall and secreted extracellular sulphated polysaccharides/proteoglycans of the diatom Stauroneis amphioxys Gregory</t>
  </si>
  <si>
    <t>PROTOPLASMA</t>
  </si>
  <si>
    <t>diatom; polysaccharides; cell wall; extracellular matrix</t>
  </si>
  <si>
    <t>ACHNANTHES LONGIPES; CELL-WALLS; BACILLARIOPHYCEAE; CHEMISTRY; MOTILITY; ADHESION; BINDING</t>
  </si>
  <si>
    <t>Extracellular polysaccharide/proteoglycan (EPS) mucilages play a crucial role in maintaining the structure of the extensive algal sheets that appear along the undersurface of nearshore Antarctic sea ice during the austral spring. In this study we have determined the composition and ultrastructural location of a family of novel sulphated polysaccharides/proteoglycans from the pennate ice diatom Stauroneis amphioxys Gregory. They occur as soluble EPS in the culture supernatant, as an intercellular mucilage sheet, and as components of a distinct organic layer (diatotepum) underlying the silicious cell wall. The ultrastructural location and quantitative extraction of the mucilage EPS and the major diatotepum polysaccharides with hot water and alkali, respectively, was monitored by light and electron microscopy. The EPS and wall components were purified by ultrafiltration, anion exchange and gel filtration chromatographies, and their monosaccharide composition was determined by gas-chromatography mass spectrometry. The soluble and mucilage EPS, and major diatotepum polysaccharides/proteoglycans had an apparent molecular mass greater than 2 x 10(6) Da on gel. They contained a similar complex monosaccharide composition that includes glucuronic acid and galactose as the major sugars and significant levels of rhamnose, fucose, arabinose, xylose, mannose, glucose and the mono-O-methylated monosaccharides 3-O-methylrhamnose, 3-O-methylfucose, 3-O- and 4-O-methylxylose. The ratios of Gal to GlcA, which together account for 45% of the monosaccharides, varied from 0.8 (in the soluble EPS) to 2.3 (in diatotepum polysaccharides). The level of sulphation also varied from 5-15% (w/w), with the mucilage EPS being the most highly sulphated. The soluble EPS also contains a small amount of protein (ca. 5%, v/w) which cochromatographs with the. polysaccharide during gel filtration and anion exchange chromatographies suggesting that it may be a sulphated proteoglycan. They are clearly distinct from a sulphated glucuronomannan that remained in the alkali-insoluble fraction and may be tightly associated with the silica wall components. The amount of mucilage EPS increased during logarithmic growth but decreased during stationary phase, when most of the EPS was found in the soluble pool. These changes correlate with the breakdown of the mucilage sheet and dispersal of diatom colonies during stationary growth. Interestingly, the soluble EPS from stationary-growth cultures was indistinguishable from the mucilage EPS of logarithmic- or stationary-phase cells, suggesting that; the dissolution of the intercellular mucilage was not due to a change in EPS composition. The possibility that cell motility may be required for mucilage formation and the significance of these polysaccharides in the under-ice community Ts discussed.</t>
  </si>
  <si>
    <t>Univ Melbourne, Sch Bot, Dept Bot, Parkville, Vic 3052, Australia; Univ Melbourne, Dept Biochem &amp; Mol Biol, Parkville, Vic 3052, Australia</t>
  </si>
  <si>
    <t>University of Melbourne; University of Melbourne</t>
  </si>
  <si>
    <t>Wetherbee, R (corresponding author), Univ Melbourne, Sch Bot, Dept Bot, Parkville, Vic 3052, Australia.</t>
  </si>
  <si>
    <t>Wetherbee, Richard/ABA-6881-2020</t>
  </si>
  <si>
    <t>0033-183X</t>
  </si>
  <si>
    <t>Protoplasma</t>
  </si>
  <si>
    <t>10.1007/BF01279266</t>
  </si>
  <si>
    <t>Plant Sciences; Cell Biology</t>
  </si>
  <si>
    <t>191XM</t>
  </si>
  <si>
    <t>WOS:000080047200020</t>
  </si>
  <si>
    <t>Simmons, AJ; Untch, A; Jakob, C; Kållberg, P; Undén, P</t>
  </si>
  <si>
    <t>Stratospheric water vapour and tropical tropopause temperatures in ECMWF analyses and multi-year simulations</t>
  </si>
  <si>
    <t>QUARTERLY JOURNAL OF THE ROYAL METEOROLOGICAL SOCIETY</t>
  </si>
  <si>
    <t>humidity; numerical modelling; stratosphere</t>
  </si>
  <si>
    <t>LARGE-SCALE MODELS; WAVE MOTION; SCHEME; PARAMETERIZATION; INTERPOLATION; TRANSPORT; EQUATIONS; PRESSURE; DYNAMICS; PROJECT</t>
  </si>
  <si>
    <t>Stratospheric humidity analyses produced operationally by the European Centre for Medium-Range Weather Forecasts (ECMWF) are discussed for the period since late January 1996 when the practice of resetting the upper-level specific humidity to a fixed value at each analysis time was abandoned. Near-tropopause analyses are in reasonable overall agreement with independent observations. Very low humidities occur in conjunction with deep convection and a particularly cold tropopause over the equatorial western Pacific during the northern winter. Drying occurs also in the cold core of the Antarctic polar-night vortex. The lower stratosphere is moistened in the outer tropics and subtropics in summer and autumn, predominantly in the northern hemisphere. Changes associated with the latest occurrence of Fl Nino are illustrated. Analysed temperatures near the tropical tropopause are generally in good agreement with corresponding radiosonde measurements, with standard-level biases of the order of 0.5 degC or less. The past two years are the coldest by about 1 degC in a series of tropical mean 100 hPa analyses extending back to 1979. A cooling trend of about 0.6 degC per decade is seen in the global means of the 100 hPa analyses. Moisture is spread zonally and upward from the tropical tropopause as the data assimilation proceeds, but the rate of upward transfer is much faster than observed. Substantial lateral mixing can occur within the stratosphere over the course of a season. Moistening at middle and high latitudes due to mixing with more humid tropospheric air is confined, realistically, to a shallow layer at the base of the stratosphere. The rate of upward transfer of tropical stratospheric moisture is much more realistic in a multi-year simulation using a version of the model that has finer stratospheric resolution than the version used for the operational data assimilation. Temperatures at the tropical tropopause and in the Antarctic polar night are accurately simulated, apart from excessive persistence of cold south-polar temperatures in late winter and early spring. The latter is conducive to drying the model stratosphere; lack of a parametrization of moistening due to methane oxidation is an obvious deficiency in this regard.</t>
  </si>
  <si>
    <t>European Ctr Medium Range Weather Forecasts, Reading RG2 9AX, Berks, England</t>
  </si>
  <si>
    <t>European Centre for Medium-Range Weather Forecasts (ECMWF)</t>
  </si>
  <si>
    <t>European Ctr Medium Range Weather Forecasts, Shinfield Pk, Reading RG2 9AX, Berks, England.</t>
  </si>
  <si>
    <t>Jakob, Christian/A-1082-2010</t>
  </si>
  <si>
    <t>Jakob, Christian/0000-0002-5012-3207</t>
  </si>
  <si>
    <t>0035-9009</t>
  </si>
  <si>
    <t>1477-870X</t>
  </si>
  <si>
    <t>Q J ROY METEOR SOC</t>
  </si>
  <si>
    <t>Q. J. R. Meteorol. Soc.</t>
  </si>
  <si>
    <t>A</t>
  </si>
  <si>
    <t>10.1002/qj.49712555318</t>
  </si>
  <si>
    <t>166CE</t>
  </si>
  <si>
    <t>WOS:000078558000016</t>
  </si>
  <si>
    <t>Iriondo, MH</t>
  </si>
  <si>
    <t>Last glacial maximum and Hypsithermal in the Southern Hemisphere</t>
  </si>
  <si>
    <t>QUATERNARY INTERNATIONAL</t>
  </si>
  <si>
    <t>LATE QUATERNARY; CLIMATE-CHANGE; WESTERN-AUSTRALIA; AMERICA; ICE; VEGETATION; RECORD; CO2</t>
  </si>
  <si>
    <t>A synthesis of the two contrasting climates of the upper Quaternary in the Southern Hemisphere, based on continental geological indicators, suggests that the Antarctic Anticyclone is the most important climatic system in the hemisphere. According to glaciological and oceanographic studies, the Antarctic Anticyclone covered an area in the LGM that was double of that during the Hypsithermal. This phenomenon produced a consequent shifting of the climatic belts by approximately 10 degrees of latitude to the north in the LGM and a migration to the south during the Hypsithermal. Oceanic and continental anticyclones were active systems in shaping climates in South America, Australasia, and Southern Africa. These structures were enhanced throughout the LGM (provoking generalized droughts), and weakened at the Hypsithermal (permitting more rains in tropical latitudes). The results presented here were obtained by integrating our own results with regional and continental syntheses of other authors. The paleoclimatic proposals are amply validated by more than 1500 dates in the four continents. Geological and geomorphological features, such as dunefields, paleosols, fluvial terraces and lake levels were the main tools employed in the work. (C) 2000 Elsevier Science Ltd and INQUA. All rights reserved.</t>
  </si>
  <si>
    <t>CONICET, RA-3100 Parana, Argentina</t>
  </si>
  <si>
    <t>Iriondo, MH (corresponding author), CONICET, Casilla Correo 487, RA-3100 Parana, Argentina.</t>
  </si>
  <si>
    <t>miriond@alpha.accride.edu.ar</t>
  </si>
  <si>
    <t>1040-6182</t>
  </si>
  <si>
    <t>QUATERN INT</t>
  </si>
  <si>
    <t>Quat. Int.</t>
  </si>
  <si>
    <t>10.1016/S1040-6182(99)00019-1</t>
  </si>
  <si>
    <t>296XK</t>
  </si>
  <si>
    <t>WOS:000086051900003</t>
  </si>
  <si>
    <t>Domack, EW; Taviani, M; Rodriguez, A</t>
  </si>
  <si>
    <t>Recent sediment remolding on a deep shelf, Ross Sea: implications for radiocarbon dating of Antarctic marine sediments</t>
  </si>
  <si>
    <t>QUATERNARY SCIENCE REVIEWS</t>
  </si>
  <si>
    <t>CONTINENTAL-SHELF; EAST ANTARCTICA</t>
  </si>
  <si>
    <t>Coarse, bioclastic rich sands have been widely reported from the banks of the Antarctic continental shelf but their origin is still poorly known. We report on a suite of coarse sediments recovered from the top of the Mawson Bank in the northwestern Ross Sea. Radiocarbon ages of biogenic calcite, for modern and apparently late Pleistocene deposits, range from 1085 +/- 45 to 20,895 +/- 250 yr B.P.. Discovery of soft tissue (Ascidian) preserved as an incrustation on a pebble at 2 m depth indicates aggregation of the sediment within several months or a year of core recovery. Radiocarbon ages of acid insoluble organic matter (aiom) are less than those of the foraminifera calcite. The aiom ages are also reversed in sequence, indicating reworking of the sediment during deposition. These observations and a review of recently published literature suggest that much of the bank top sediment in Antarctica is presently undergoing remobilization, under the influence of strong currents and/or icebergs even under interglacical (high-stand) sea levels. These observations point out the need for careful, integrated studies on high latitude marine sediment cores before resultant ages alone are used as the foundation for paleoglacial reconstructions. (C) 1999 Elsevier Science Ltd. All rights reserved.</t>
  </si>
  <si>
    <t>Hamilton Coll, Dept Geol, Clinton, NY 13323 USA; CNR, Inst Geol Marina, I-40129 Bologna, Italy; Rice Univ, Dept Geol &amp; Geophys, Houston, TX 77251 USA</t>
  </si>
  <si>
    <t>Hamilton College; Consiglio Nazionale delle Ricerche (CNR); Rice University</t>
  </si>
  <si>
    <t>Domack, EW (corresponding author), Hamilton Coll, Dept Geol, Clinton, NY 13323 USA.</t>
  </si>
  <si>
    <t>Taviani, Marco/AAF-2168-2020</t>
  </si>
  <si>
    <t>Taviani, Marco/0000-0003-0414-4274</t>
  </si>
  <si>
    <t>0277-3791</t>
  </si>
  <si>
    <t>QUATERNARY SCI REV</t>
  </si>
  <si>
    <t>Quat. Sci. Rev.</t>
  </si>
  <si>
    <t>10.1016/S0277-3791(99)00042-6</t>
  </si>
  <si>
    <t>264DY</t>
  </si>
  <si>
    <t>WOS:000084166200001</t>
  </si>
  <si>
    <t>Bentley, MJ</t>
  </si>
  <si>
    <t>Volume of Antarctic Ice at the Last Glacial Maximum, and its impact on global sea level change</t>
  </si>
  <si>
    <t>TERRA-NOVA BAY; LATE PLEISTOCENE; EAST ANTARCTICA; LATE WISCONSIN; BUNGER HILLS; WEDDELL SEA; HOLOCENE DEGLACIATION; ISOSTATIC-ADJUSTMENT; MELTWATER DISCHARGE; CONTINENTAL-SHELF</t>
  </si>
  <si>
    <t>The volume of Antarctic ice at the Last Glacial Maximum is a key factor for calculating the past contribution of melting ice sheets to Late Pleistocene global sea level change. At present, there are large uncertainties in our knowledge of the extent and thickness of the formerly expanded Antarctic ice sheets, and in the timing of their release as meltwater into the world's oceans. This paper reviews the four main approaches to determining former Antarctic ice volume, namely glacial geology, glacio-isostatic studies, glaciological modelling, and ice core analysis and attempts to reconcile these to give a 'best estimate' for ice volume. In the Ross Sea there was a major expansion of grounded ice at the Last Glacial Maximum, accounting for 2.3-3.2 m of global sea level. At some time in the Weddell Sea a large grounded ice sheet corresponding to c. 2.7 m of global sea level extended to the shelf break. However, this ice expansion has not yet been confidently dated and may not relate to the Last Glacial Maximum; Around East Antarctica there was thickening and advance offshore of ice in coastal regions. Ice core evidence suggests that the interior of East Antarctica was either dose to its present elevation or thinner during the last glacial so the effect of East Antarctica on sea level depends on the net balance between marginal thickening and interior thinning. Suggested East Antarctic contributions vary from a 3-5.5 m lowering to a 0.64 m rise in global sea level. The Antarctic Peninsula ice sheet thickened and extended offshore at the Last Glacial Maximum, with a sea level equivalent contribution of c. 1.7 m. Thus, the Antarctic ice sheets accounted for between 6.1 and 13.1 m of global sea level fall at the Last Glacial Maximum. This is substantially less than has been suggested by most previous studies but the maximum figure matches well with one modelling estimate. The timing of Antarctic deglaciation is not well known. In the Ross Sea, terrestrial evidence suggests deglaciation may have begun at c. 13,000 yr BP1 but that grounded ice persisted until c. 6,500 yr BP. Marine evidence suggests the western Ross Sea was deglaciated by c. 11,500 yr BP. Deglaciation of the Weddell Sea is poorly constrained. Grounded ice in the northern Antarctic Peninsula had retreated by c. 13,000 yr BP, and further south deglaciation occurred sometime prior to c. 6,000 yr BP. Many parts of coastal East Antarctica apparently escaped glaciation at the LGM, but in those areas that were ice-covered deglaciation was underway by 10,000 yr BP. With existing data, the timing of deglaciation shows no firm relation to northern hemisphere-driven sea level rise. This is probably due partly to lack of Antarctic dating evidence but also to the combined influence of several forcing mechanisms acting during deglaciation. (C) 1999 Elsevier Science Ltd. All rights reserved.</t>
  </si>
  <si>
    <t>Univ Edinburgh, Dept Geog, Edinburgh EH8 9XP, Midlothian, Scotland</t>
  </si>
  <si>
    <t>University of Edinburgh</t>
  </si>
  <si>
    <t>Univ Edinburgh, Dept Geog, Drummond St, Edinburgh EH8 9XP, Midlothian, Scotland.</t>
  </si>
  <si>
    <t>mjb@geo.ed.ac.uk</t>
  </si>
  <si>
    <t>Bentley, Michael J/F-7386-2011</t>
  </si>
  <si>
    <t>Bentley, Michael J/0000-0002-2048-0019</t>
  </si>
  <si>
    <t>10.1016/S0277-3791(98)00118-8</t>
  </si>
  <si>
    <t>265VL</t>
  </si>
  <si>
    <t>WOS:000084266600003</t>
  </si>
  <si>
    <t>Leboucher, V; Orr, J; Jean-Baptiste, P; Arnold, M; Monfray, P; Tisnerat-Laborde, N; Poisson, A; Duplessy, JC</t>
  </si>
  <si>
    <t>Oceanic radiocarbon between Antarctica and South Africa along WOCE Section 16 at 30°E</t>
  </si>
  <si>
    <t>RADIOCARBON</t>
  </si>
  <si>
    <t>GENERAL-CIRCULATION MODEL; DEEP-WATER FORMATION; WEDDELL SEA; BOMB RADIOCARBON; ANTHROPOGENIC CO2; PACIFIC-OCEAN; BOTTOM WATER; DISTRIBUTIONS; C-14; MASSES</t>
  </si>
  <si>
    <t>Accelerator mass spectrometry (AMS) radiocarbon measurements were made on 120 samples collected between Antarctica and South Africa along 30 degrees E during the WOCE-France CIVA1 campaign in February 1993. Our principal objective was to complement the Southern Ocean's sparse existing data set in order to improve the C-14 benchmark used for validating ocean carbon-cycle models, which disagree considerably in this region. Measured C-14 is consistent with the theta-S characteristics of CIVA1. Antarctic Intermediate Water (AAIW) forming north of the Polar Front (PF) is rich in C-14, whereas surface waters south of the PF are depleted in C-14. A distinct old C-14 Signal was found for the contribution of the Pacific Deep Water (PDW) to the return flow of Circumpolar Deep Waters (CDW). Comparison to previous measurements shows a C-14 decrease in surface waters, consistent with northward displacement of surface waters, replacement by old deep waters upwelled at the Antarctic Divergence, and atmospheric decline in C-14. Conversely, an increase was found in deeper layers, in the AAIW. Large uncertainties, associated with previous methods for separating natural and bomb C-14 when in the Southern Ocean south of 45 degrees S, motivated us to develop a new approach that relies on a simple mixing model and on chlorofluorocarbon (CFC) measurements also taken during CIVA1. This approach leads to inventories for CIVA1 that are equal to or higher than those calculated with previous methods. Differences between old and new methods are especially high south of approximately 55 degrees S, where bomb C-14 inventories are relatively modest.</t>
  </si>
  <si>
    <t>LSCE, F-91198 Gif Sur Yvette, France; CEA Saclay, CEN, DSM, LSCE, F-91191 Gif Sur Yvette, France; Univ Paris 06, LPCM, F-75252 Paris, France</t>
  </si>
  <si>
    <t>CEA; Centre National de la Recherche Scientifique (CNRS); Universite Paris Saclay; Universite Paris Saclay; CEA; Centre National de la Recherche Scientifique (CNRS); Sorbonne Universite</t>
  </si>
  <si>
    <t>Leboucher, V (corresponding author), LSCE, Ave Terrasse, F-91198 Gif Sur Yvette, France.</t>
  </si>
  <si>
    <t>Orr, James C/C-5221-2009; MONFRAY, Patrick/AAB-8665-2020</t>
  </si>
  <si>
    <t>MONFRAY, Patrick/0000-0002-3028-5591; Orr, James/0000-0002-8707-7080</t>
  </si>
  <si>
    <t>UNIV ARIZONA DEPT GEOSCIENCES</t>
  </si>
  <si>
    <t>TUCSON</t>
  </si>
  <si>
    <t>RADIOCARBON 4717 E FORT LOWELL RD, TUCSON, AZ 85712 USA</t>
  </si>
  <si>
    <t>0033-8222</t>
  </si>
  <si>
    <t>Radiocarbon</t>
  </si>
  <si>
    <t>10.1017/S0033822200019330</t>
  </si>
  <si>
    <t>191YD</t>
  </si>
  <si>
    <t>WOS:000080049000006</t>
  </si>
  <si>
    <t>Vetter, W; Alder, L; Palavinskas, R</t>
  </si>
  <si>
    <t>Mass spectrometric characterization of Q1, a C9H3Cl7N2 contaminant in environmental samples</t>
  </si>
  <si>
    <t>RAPID COMMUNICATIONS IN MASS SPECTROMETRY</t>
  </si>
  <si>
    <t>Q1, a heptachloro component of unknown structure and origin, was recently identified as a major organochlorine contaminant in samples from Africa and the Antarctic, Gas chromatography in combination with low resolution mass spectrometry (LRMS) was applied to establish a molecular weight of m/z 384 including seven chlorine atoms. Three possible molecular formulae (C11H7Cl7, C10H3Cl7O, and C9H3Cl7N2) were proposed which could not be distinguished by LRMS. In this presentation the molecular composition of Q1 was studied using gas chromatography in combination with high resolution electron impact ionization mass spectrometry. With the option of further heteroatoms (P, S, N, O, F, and Br), 17 molecular formulae were obtained for the molecular weight of 384 u, In the selected ion monitoring (SIM) mode, performed with a resolution of 16,000, highest response was found at 383.812 or C9H3Cl7N2. 11 fragment ions detected in the low resolution full scan mass spectrum of Q1 were also investigated in the high resolution SIM mode. In every case, the nitrogen-variant showed highest abundance while the other 16 structural variants could be definitely excluded. These investigations revealed that the molecular formula of Q1 is C9H3Cl7N2. No stable component with this molecular formula has ever been reported in the literature, to our knowledge. Copyright (C) 1999 John Wiley &amp; Sons, Ltd.</t>
  </si>
  <si>
    <t>Univ Jena, Dept Food Chem, D-07743 Jena, Germany; Bundesinst Gesundheitlichen Verbraucherschutz &amp; V, D-14191 Berlin, Germany</t>
  </si>
  <si>
    <t>Friedrich Schiller University of Jena</t>
  </si>
  <si>
    <t>Vetter, W (corresponding author), Univ Jena, Dept Food Chem, Dornburger Str 25, D-07743 Jena, Germany.</t>
  </si>
  <si>
    <t>0951-4198</t>
  </si>
  <si>
    <t>1097-0231</t>
  </si>
  <si>
    <t>RAPID COMMUN MASS SP</t>
  </si>
  <si>
    <t>Rapid Commun. Mass Spectrom.</t>
  </si>
  <si>
    <t>10.1002/(SICI)1097-0231(19991115)13:21&lt;2118::AID-RCM762&gt;3.3.CO;2-3</t>
  </si>
  <si>
    <t>Biochemical Research Methods; Chemistry, Analytical; Spectroscopy</t>
  </si>
  <si>
    <t>Biochemistry &amp; Molecular Biology; Chemistry; Spectroscopy</t>
  </si>
  <si>
    <t>252BN</t>
  </si>
  <si>
    <t>WOS:000083481000008</t>
  </si>
  <si>
    <t>Blunier, T; Stocker, TF; Chappellaz, J; Raynaud, D</t>
  </si>
  <si>
    <t>Abrantes, F; Mix, AC</t>
  </si>
  <si>
    <t>Phase lag of Antarctic and Greenland temperature in the last glacial and link between CO2 variations and Heinrich events</t>
  </si>
  <si>
    <t>RECONSTRUCTING OCEAN HISTORY: A WINDOW INTO THE FUTURE</t>
  </si>
  <si>
    <t>6th International Conference on Paleoceanography</t>
  </si>
  <si>
    <t>AUG 23-28, 1998</t>
  </si>
  <si>
    <t>PROJECT ICE CORE; ATMOSPHERIC CO2; NORTH-ATLANTIC; CLIMATE-CHANGE; ISOTOPE PROFILES; RECORD; OSCILLATIONS; DEGLACIATION; CIRCULATION; MODEL</t>
  </si>
  <si>
    <t>Fundamental for the understanding of processes involved in climate change is the knowledge about its temporal and spatial evolution. Of special interest is the relation between high-latitude polar sites since they are a major component in climate change. Ice cores are a unique climate archive with a high temporal resolution which directly record the atmospheric composition of trace gases. We have established coherent time scales for two Antarctic cores with respect to the GRIP time scale over the period from 50 kyr BP to the Holocene by using the global CH4 signal recorded in Antarctic (Byrd Station and Vostok) and Greenland (GRIP ice core, Summit) ice cores. The atmospheric CO2 evolution is best recorded in Antarctic ice cores. The glacial CO2 variations (back to similar to 50kyr BP) can now be linked to northern hemispheric climate change (Dansgaard-Oeschger events, Heinrich events). Variations of the atmospheric CO2 concentration during Dansgaard-Oeschger (D-O) events were generally less than similar to 10 ppmv. Rather, atmospheric CO2 varied parallel to Heinrich events, especially to the ones which start with a very long lasting D-O event (similar to 20 ppmv). D-O cycles represent as well fast and abrupt changes in the Northern Hemisphere temperature, but there seem to be no significant CO2 increases parallel to short D-O cycles. We suggest that either the dynamics of the D-O cycles are distinctly different from that of H-events or that the response time for CO2 to reach a new equilibrium is too long compared to the time scale of the shorter D-O cycles. A central issue in climate dynamics is to understand how the Northern and Southern Hemisphere temperatures couple during climatic events. It was shown that some of the fast temperature changes observed in Greenland during the last glacial have a concomitant in the temperature signal of Antarctica. With the CH4 synchronisation we are able to show that long-lasting Greenland warming events around 36 and 45 kyr BP (D-O events 8 and 12) lag their Antarctic counterpart by 2-3 kyr (comparing the starting points of corresponding warmings). On average, Antarctic climate change leads that of Greenland by 1-2.5 kyr over the period 47-23 kyr BP. The CH4 changes are in phase with Greenland climatic fluctuations and thus also lag the Antarctic climate change. The observed time lag questions a coupling between northern and southern polar regions via the atmosphere and favours a connection via the ocean. Were we confirm a mechanism described in climate models: when the North Atlantic deep water formation switches on, heat is extracted from the Southern Hemisphere where cooling occurs. This interhemispheric coupling is clearly identified for interstadial events 8 and 12 as well as during the termination of the last glacial.</t>
  </si>
  <si>
    <t>Univ Bern, Inst Phys, CH-3012 Bern, Switzerland</t>
  </si>
  <si>
    <t>University of Bern</t>
  </si>
  <si>
    <t>Blunier, T (corresponding author), Princeton Univ, Guyot Hall, Princeton, NJ 08544 USA.</t>
  </si>
  <si>
    <t>Stocker, Thomas F/B-1273-2013; raynaud, dominique/ABG-4718-2020; Raynaud, Dominique/H-9626-2016; Chappellaz, Jérôme A./A-4872-2011; Blunier, Thomas/M-4609-2014</t>
  </si>
  <si>
    <t>Blunier, Thomas/0000-0002-6065-7747</t>
  </si>
  <si>
    <t>0-306-46293-1</t>
  </si>
  <si>
    <t>Geology; Oceanography; Paleontology</t>
  </si>
  <si>
    <t>BP77K</t>
  </si>
  <si>
    <t>WOS:000086138200008</t>
  </si>
  <si>
    <t>Berger, WH</t>
  </si>
  <si>
    <t>On the reconstruction of past levels of atmospheric carbon dioxide</t>
  </si>
  <si>
    <t>LATE QUATERNARY; CO2; RECORD; FRACTIONATION; PALEOCLIMATE; SEDIMENTS</t>
  </si>
  <si>
    <t>Right now, with a concentration of 30% above background, the carbon dioxide content of the atmosphere is higher than anything experienced in the last 800,000 years. According to the best-guess reconstructions of Berner (1997, 1998), we have to go back tens of millions of years to reach values greater than 50% over present, and to the mid-Cretaceous to go beyond a factor of two. However, the error bars are very large indeed. According to new reconstructions based on carbon isotopes in unsaturated alkenones from deepsea carbonates, atmospheric CO(2) was in fact lower in the Miocene than today (Ennyu et al., 1998; Pagani et al., 1998), rather than higher, as is generally thought. If this is accepted, Neogene cooling must be derived from orographic and other geographic changes affecting albedo and redistribution of heat, rather than a drawing down of CO(2) from intensified weathering or burial of organic matter. The best documented past values of CO(2) are those derived from Antarctic ice, and the best-documented period of rapid change in these values is the time of deglaciation. The glacial to postglacial rise in temperature that may be ascribed to carbon dioxide is between 1 and 2 degrees C. A strong increase of alkalinity occurs within the ocean during deglaciation, which is counterintuitive. This increase (which produces the degiacial preservation spike) points to transfer of alkalinity from shallow to deep water in a stratified ocean (e.g., through coccolith blooms and shallow-water carbonate precipitation cum redeposition), and to nitrate and sulfate reduction at depth (from lack of ventilation). The carbon dioxide curve from ice cores can be extrapolated backward using regression on delta(18)O, with r(2) near 0.9, provided the equation has the form [CO(2) = f(x(2), x'(2))] where x is a transform of delta(18)O ranging between 0 and 1, and x' is its derivative. The ice core data, and perhaps the regression-based extrapolations for the last several 100 ky, provide a check on the quality of reconstructions using carbon dioxide proxies. The fact that such proxies need to be corrected for other parameters (e.g., temperature) introduces considerable uncertainty.</t>
  </si>
  <si>
    <t>Univ Calif San Diego, Scripps Inst Oceanog, La Jolla, CA 92093 USA</t>
  </si>
  <si>
    <t>Berger, WH (corresponding author), Univ Calif San Diego, Scripps Inst Oceanog, La Jolla, CA 92093 USA.</t>
  </si>
  <si>
    <t>WOS:000086138200010</t>
  </si>
  <si>
    <t>Chan, AHY; Jackson, DR; Harries, JE</t>
  </si>
  <si>
    <t>Rodgers, CD; Guymer, TH; Palaniappan, K</t>
  </si>
  <si>
    <t>HALOE observations of polar stratospheric clouds in the Antarctic in October 1993</t>
  </si>
  <si>
    <t>REMOTE SENSING: EARTH, OCEAN AND ATMOSPHERE</t>
  </si>
  <si>
    <t>A1 1 and A2 1 Symposia COSPAR Scientific Commission A on Remote Sensing - Earth, Ocean and Atmosphere, at the 31st COSPAR Scientific Assembly</t>
  </si>
  <si>
    <t>JUL 14-21, 1996</t>
  </si>
  <si>
    <t>BIRMINGHAM, ENGLAND</t>
  </si>
  <si>
    <t>OCCULTATION EXPERIMENT; VORTEX; HNO3</t>
  </si>
  <si>
    <t>Measurements by the Halogen Occultation Experiment (HALOE)during the austral spring of 1993 show anomalously high aerosol extinction profiles over the Weddell Sea on October 7 - 9. With temperatures falling to 195 K and below, conditions were favorable for the formation of polar stratospheric clouds (PSCs). Geopotential height fields from the United Kingdom Meteorological Office (UKMO) meteorological analyses suggest that the region of cold temperatures was being influenced by flow patterns in the midtroposphere. HALOE measurements of methane and water vapor mixing ratio, together with potential vorticity maps and wind fields from the UKMO analyses, suggest there was transport of mid-latitude air to polar latitudes. (C) 1999 COSPAR. Published by Elsevier Science Ltd.</t>
  </si>
  <si>
    <t>Univ London Imperial Coll Sci Technol &amp; Med, Blackett Lab, London SW7 2BZ, England</t>
  </si>
  <si>
    <t>Imperial College London</t>
  </si>
  <si>
    <t>Chan, AHY (corresponding author), Univ London Imperial Coll Sci Technol &amp; Med, Blackett Lab, Prince Consort Rd, London SW7 2BZ, England.</t>
  </si>
  <si>
    <t>0-08-043639-0</t>
  </si>
  <si>
    <t>BM91C</t>
  </si>
  <si>
    <t>WOS:000080096000012</t>
  </si>
  <si>
    <t>Challenor, PG; Tokmakian, RT</t>
  </si>
  <si>
    <t>Altimeter measurements of the volume transport through the Drake Passage</t>
  </si>
  <si>
    <t>From in situ measurements it has been inferred that the variability of flow through the Drake Passage down to 2500m does not depend upon depth (barotropic flow). By making this assumption it is possible to calculate the variability of the volume transport from the surface slope as measured by a radar altimeter. It is shown that it is not possible to use data from individual passes as there is too much noise on the observations. However by averaging all the data in a ten day period in boxes north and south of the Passage an estimate of the variability comparable to the in situ observations is obtained. Using an additional two boxes in the centre of the Passage shows that most of the variability is in the northern half. The variability in the centre is negatively correlated with both the north and south. (C) 1999 COSPAR. Published by Elsevier Science Ltd.</t>
  </si>
  <si>
    <t>Southampton Oceanog Ctr, James Rennell Div, Southampton SO14 3ZH, Hants, England; USN, Postgrad Sch, Dept Oceanog, Monterey, CA 93943 USA</t>
  </si>
  <si>
    <t>University of Southampton; NERC National Oceanography Centre; United States Department of Defense; United States Navy; Naval Postgraduate School</t>
  </si>
  <si>
    <t>Challenor, PG (corresponding author), Southampton Oceanog Ctr, James Rennell Div, Southampton SO14 3ZH, Hants, England.</t>
  </si>
  <si>
    <t>Challenor, Peter/M-2579-2016</t>
  </si>
  <si>
    <t>Challenor, Peter/0000-0001-8661-2718</t>
  </si>
  <si>
    <t>WOS:000080096000015</t>
  </si>
  <si>
    <t>Hughes, CW; Carnochan, SA</t>
  </si>
  <si>
    <t>Rossby wave propagation from satellite altimetry</t>
  </si>
  <si>
    <t>STRATIFIED OCEAN; SPIN-UP</t>
  </si>
  <si>
    <t>Baroclinic Rossby waves play an important role in ocean circulation. Theoretical studies have shown that, as they propagate away from eastern boundaries, they leave behind them 'shadow zones' in which the wind-driven circulation is confined to the surface layers. In a stationary ocean, long, non-dispersive waves travel westwards, but it is possible (especially at high latitudes) for the mean ocean flow to overwhelm the wave group velocity and force eastward propagation in places. This has been shown in an eddy-resolving simulation of the Southern Ocean (FRAM) to result in striking, sharply-defined areas in which eastward and westward wave propagation occur, eastward propagation being confined to the Antarctic Circumpolar Current (ACC). Such eastward-propagating waves have been detected in the real Southern Ocean using altimetry from TOPEX/POSEIDON, and in this paper results are presented using ERS-1 altimetry, which gives much improved spatial resolution. (C) 1999 COSPAR. Published by Elsevier Science Ltd.</t>
  </si>
  <si>
    <t>Bidston Observ, Proudman Oceanog Lab, Birkenhead L43 7RA, Merseyside, England; Aston Univ, Dept Comp Sci &amp; Appl Math, Birmingham B4 7ET, W Midlands, England</t>
  </si>
  <si>
    <t>NERC National Oceanography Centre; Aston University</t>
  </si>
  <si>
    <t>Hughes, CW (corresponding author), Bidston Observ, Proudman Oceanog Lab, Birkenhead L43 7RA, Merseyside, England.</t>
  </si>
  <si>
    <t>Hughes, Chris W/A-3791-2010; Hughes, Chris/GQP-7479-2022</t>
  </si>
  <si>
    <t>Hughes, Chris W/0000-0002-9355-0233;</t>
  </si>
  <si>
    <t>WOS:000080096000017</t>
  </si>
  <si>
    <t>Thomas, W; von Bargen, A; Hegels, E; Slijkhuis, S</t>
  </si>
  <si>
    <t>Russell, JE</t>
  </si>
  <si>
    <t>Detection of minor trace species in the atmosphere</t>
  </si>
  <si>
    <t>SATELLITE REMOTE SENSING OF CLOUDS AND THE ATMOSPHERE IV</t>
  </si>
  <si>
    <t>Conference on Satellite Remote Sensing of Clouds and the Atmosphere IV</t>
  </si>
  <si>
    <t>SEP 20-22, 1999</t>
  </si>
  <si>
    <t>FLORENCE, ITALY</t>
  </si>
  <si>
    <t>ERS-2; GOME; DOAS; biomass burning; minor trace gases</t>
  </si>
  <si>
    <t>ABSORPTION CROSS-SECTIONS; MIDLATITUDE OBSERVATIONS; BRO MEASUREMENTS; GOME; NM; TEMPERATURE; RANGE; ERS-2; NO2</t>
  </si>
  <si>
    <t>The Global Ozone Monitoring Experiment (GOME) is an atmospheric chemistry instrument on-board the ERS-2 satellite which is able to measure a range of important atmospheric trace constituents on a global scale. Atmospheric UV/visible backscatter spectra obtained by the GOME spectrometer were used to retrieve column amounts of key trace species associated with biomass burning events and ozone hole chemistry In particular, the column distributions of ozone (O-3), nitrogen dioxide (NO2), formaldehyde (CH2O), and bromine-monoxide (BrO) were retrieved on an operational basis. The differential optical absorption spectroscopy technique (DOAS) is applied to backscatter spectra and yields slant column distributions of the aforementioned species. Additionally, the vertical columns of O-3 and NO2 are provided. A strong enhancement of both the NO2 and CH2O contents were detected during the severe biomass burning event in September 1997 in SE Asia. A higher NO2 content is apparent over a large area within the smoke clouds, where formaldehyde is detected only in areas closest to combustion sources. BrO has been detected on a global scale and under antarctic winter (ozone hole) conditions. The knowledge about the spatial distribution and the amount of BrO is of high relevance because BrO is a key species for the depletion of stratospheric ozone.</t>
  </si>
  <si>
    <t>Deutsch Fernerkundungsdatenzentrum, Deutsch Zentrum Luft &amp; Raumfahrt, D-82234 Wessling, Germany</t>
  </si>
  <si>
    <t>Helmholtz Association; German Aerospace Centre (DLR)</t>
  </si>
  <si>
    <t>Thomas, W (corresponding author), Deutsch Fernerkundungsdatenzentrum, Deutsch Zentrum Luft &amp; Raumfahrt, D-82234 Wessling, Germany.</t>
  </si>
  <si>
    <t>Chance, Kelly/0000-0002-7339-7577</t>
  </si>
  <si>
    <t>0-8194-3462-0</t>
  </si>
  <si>
    <t>10.1117/12.373068</t>
  </si>
  <si>
    <t>Meteorology &amp; Atmospheric Sciences; Remote Sensing</t>
  </si>
  <si>
    <t>BP46E</t>
  </si>
  <si>
    <t>WOS:000085206300017</t>
  </si>
  <si>
    <t>Kloor, K</t>
  </si>
  <si>
    <t>The hole the world is watching - The Antarctic ozone hole gets bigger than ever</t>
  </si>
  <si>
    <t>SCIENCES-NEW YORK</t>
  </si>
  <si>
    <t>NEW YORK ACAD SCIENCES</t>
  </si>
  <si>
    <t>2 E 63RD ST, NEW YORK, NY 10021 USA</t>
  </si>
  <si>
    <t>0036-861X</t>
  </si>
  <si>
    <t>SCIENCES</t>
  </si>
  <si>
    <t>Sci.-New York</t>
  </si>
  <si>
    <t>Multidisciplinary Sciences</t>
  </si>
  <si>
    <t>Science &amp; Technology - Other Topics</t>
  </si>
  <si>
    <t>156MH</t>
  </si>
  <si>
    <t>WOS:000078004800006</t>
  </si>
  <si>
    <t>Bentley, M</t>
  </si>
  <si>
    <t>Antarctic environments and resources: a geographical perspective.</t>
  </si>
  <si>
    <t>SCOTTISH GEOGRAPHICAL JOURNAL</t>
  </si>
  <si>
    <t>Book Review</t>
  </si>
  <si>
    <t>Univ Edinburgh, Edinburgh EH8 9YL, Midlothian, Scotland</t>
  </si>
  <si>
    <t>Bentley, M (corresponding author), Univ Edinburgh, Edinburgh EH8 9YL, Midlothian, Scotland.</t>
  </si>
  <si>
    <t>ROYAL SCOTTISH GEOGRAPH SOC</t>
  </si>
  <si>
    <t>GLASGOW</t>
  </si>
  <si>
    <t>GRAHAM HILLS BUILDING, 40 GEORGE ST, GLASGOW G1 1QE, SCOTLAND</t>
  </si>
  <si>
    <t>0036-9225</t>
  </si>
  <si>
    <t>SCOT GEOGR J</t>
  </si>
  <si>
    <t>Scott. Geogr. J.</t>
  </si>
  <si>
    <t>Geography</t>
  </si>
  <si>
    <t>Social Science Citation Index (SSCI)</t>
  </si>
  <si>
    <t>335RX</t>
  </si>
  <si>
    <t>WOS:000088259500014</t>
  </si>
  <si>
    <t>Willen, E</t>
  </si>
  <si>
    <t>Walossek, D</t>
  </si>
  <si>
    <t>Preliminary revision of the Pseudotachidiidae Lang, 1936 (Copepoda, Harpacticoida)</t>
  </si>
  <si>
    <t>SHAKEUP IN SYSTEMATICS</t>
  </si>
  <si>
    <t>COURIER FORSCHUNGSINSTITUT SENCKENBERG SERIES</t>
  </si>
  <si>
    <t>1st Annual Meeting of the Society-for-Biological-Systematics</t>
  </si>
  <si>
    <t>SEP 17-19, 1998</t>
  </si>
  <si>
    <t>BONN, GERMANY</t>
  </si>
  <si>
    <t>Copepoda; Harpacticoida; Pseudotachidiidae; Thalestridimorpha; systematics; phylogeny</t>
  </si>
  <si>
    <t>In the course of a general revision of the Thalestridimorpha LANG, 1948 (Copepoda, Harpacticoida) the Pseudotachidiidae LANG, 1936 are raised to family rank and removed from the Thalestridae SARS, 1905, to which they had been assigned as a subfamily previously. They do not show the autapomorphies of the Thalestridimorpha bur clearly belong to the higher taxon Podogennonta, because of their distinctive peraeopod i. The Pseudotachidiidae can easily be recognized as a monophylum by numerous autapomorphies, such as the shape of maxillular praecoxal spines and maxillar endite setae, the setation of the maxilliped, the specialized female peraeopod 5, the presence of large anterior pores on the rostrum, sexual dimorphisms on male peraeopods 2 and 3. The Paranannopidae POR, 1986 are integrated into the Pseudotachidiidae because of showing all of its autapomorphies, and are characterised as a monophyletic subtaxon by the lack of the antennular aesthetascs on segments 3 and 4 in the male, the unisegmented, 4-setose maxillar endopodite, the specialized maxillar praecoxal endite and the 2-segmented peraeopod i. The taxa Idomene PHILLIPI, 1843, Pseudotachidius T. SCOTT, 1898 and Dactylopodella SARS, 1905 are briefly discussed. An analysis of new material from the Weddell Sea (High Antarctic) revealed a line of descent related to Pseudotachidius.</t>
  </si>
  <si>
    <t>Carl v Ossietzky Univ Oldenburg, FB Biol 7, AG Zoosystemat &amp; Morphol, D-26111 Oldenburg, Germany</t>
  </si>
  <si>
    <t>Carl von Ossietzky Universitat Oldenburg</t>
  </si>
  <si>
    <t>Willen, E (corresponding author), Carl v Ossietzky Univ Oldenburg, FB Biol 7, AG Zoosystemat &amp; Morphol, D-26111 Oldenburg, Germany.</t>
  </si>
  <si>
    <t>SENCKENBERGISCHE NATURFORSCHENDE GESELLSCHAFT</t>
  </si>
  <si>
    <t>FRANKFURT</t>
  </si>
  <si>
    <t>SENCKENBERGANLAGE 25, 60325 FRANKFURT, GERMANY</t>
  </si>
  <si>
    <t>0341-4116</t>
  </si>
  <si>
    <t>3-929907-57-7</t>
  </si>
  <si>
    <t>COUR FOR SEKENBG</t>
  </si>
  <si>
    <t>BQ19S</t>
  </si>
  <si>
    <t>WOS:000087479600030</t>
  </si>
  <si>
    <t>Skogen, MD</t>
  </si>
  <si>
    <t>A biophysical model applied to the Benguela upwelling system</t>
  </si>
  <si>
    <t>SOUTH AFRICAN JOURNAL OF MARINE SCIENCE-SUID-AFRIKAANSE TYDSKRIF VIR SEEWETENSKAP</t>
  </si>
  <si>
    <t>RESOLUTION ANTARCTIC MODEL; AGULHAS CURRENT; NUMERICAL-MODEL; SOUTHERN-AFRICA; CURRENT REGION; INDIAN-OCEAN; LARGE-SCALE; CIRCULATION; ATLANTIC; RETROFLECTION</t>
  </si>
  <si>
    <t>A three-dimensional biophysical model for the Benguela upwelling system is described. The model (NORWECOM) has been used in previous works to study model circulation, primary production and dispersion of particles (fish larvae and pollution) in the North Sea. The primary task of this work has been to validate its implementation in the Benguela upwelling system by reproducing several of the main characteristics in the area. The results show a well-developed Agulhas Current, the Agulhas retroflection and Agulhas rings. The model is also able to identify main upwelling cells in their correct location, the Angola-Benguela front and a longshore thermal front outside the upwelling area. The Benguela Current and a poleward undercurrent, following the shelf-break, is also shown.</t>
  </si>
  <si>
    <t>Inst Marine Res, N-5817 Bergen, Norway</t>
  </si>
  <si>
    <t>Institute of Marine Research - Norway</t>
  </si>
  <si>
    <t>Skogen, MD (corresponding author), Inst Marine Res, Pb 1870 Nordnes, N-5817 Bergen, Norway.</t>
  </si>
  <si>
    <t>Skogen, Morten D./0000-0002-6304-7282</t>
  </si>
  <si>
    <t>SEA FISHERIES RESEARCH INST DEPT ENVIRONMENT AFFAIRS</t>
  </si>
  <si>
    <t>CAPE TOWN</t>
  </si>
  <si>
    <t>PRIVATE BAG X2 ROGGE BAY 8012, CAPE TOWN, SOUTH AFRICA</t>
  </si>
  <si>
    <t>0257-7615</t>
  </si>
  <si>
    <t>S AFR J MARINE SCI</t>
  </si>
  <si>
    <t>South Afr. J. Mar. Sci.-Suid-Afr. Tydsk. Seewetens.</t>
  </si>
  <si>
    <t>271UB</t>
  </si>
  <si>
    <t>WOS:000084610900019</t>
  </si>
  <si>
    <t>Best, PB</t>
  </si>
  <si>
    <t>Food and feeding of sperm whales Physeter macrocephalus off the West Coast of South Africa</t>
  </si>
  <si>
    <t>BEHAVIOR; SHELF</t>
  </si>
  <si>
    <t>The stomach contents of 1 268 sperm whales Physeter macrocephalus processed at the Donkergat whaling station, South Africa, were examined during the 1962 and 1963 whaling seasons. Results were compared with Clarke's analysis of cephalopod beaks collected in 1963 (Clarke 1980). There was no significant difference in the incidence of food in the stomachs between whales taken in the morning (07:15-11:15), at midday (11:15-15:15) or in the afternoon (after 15:15). The incidence of food remains was less in medium-sized (12.2-13.7 m) and large (greater than or equal to 14 m) males than in small (less than or equal to 11.9 m) males and females, and their stomachs more frequently contained the beaks of cephalopod species from the Antarctic or subAntarctic. These phenomena were related to a winter migration of medium-sized and large males into the whaling ground from south of the Subtropical Convergence. Medium-sized and large males fed more frequently on larger species of endemic cephalopods than females or small males, whereas males in general ate larger individuals of a cephalopod species than females. Because larger and older individuals within a cephalopod species are frequently distributed deeper than other individuals, males may feed lower in the water column than females. Evidence from catch positions and the incidence of non-cephalopod prey items suggests that some males within the West Coast whaling ground moved into the continental slope water (200-1 000 m deep), where they dived to the sea floor and tool; benthic organisms such as rajids, crabs, Lophius sp. and Allocyttus sp. Females stayed farther offshore, where both sexes fed mesopelagically, consuming mesopelagic-bathypelagic cephalopods, Ruvettus sp., mysids and ceratids. Some of the differences in distribution and feeding behaviour between males and females may reflect adaptations to the social organization of the species.</t>
  </si>
  <si>
    <t>Univ Pretoria, Mammal Res Inst, ZA-0002 Pretoria, South Africa</t>
  </si>
  <si>
    <t>University of Pretoria</t>
  </si>
  <si>
    <t>Best, PB (corresponding author), S African Museum, POB 61, ZA-8000 Cape Town, South Africa.</t>
  </si>
  <si>
    <t>WOS:000084610900027</t>
  </si>
  <si>
    <t>Prause, AR; Scourfield, MWJ; Bodeker, GE; Diab, RD</t>
  </si>
  <si>
    <t>Surface UV-B irradiance and total column ozone above SANAE, Antarctica</t>
  </si>
  <si>
    <t>SOUTH AFRICAN JOURNAL OF SCIENCE</t>
  </si>
  <si>
    <t>SOLAR ULTRAVIOLET-RADIATION; EARTHS SURFACE</t>
  </si>
  <si>
    <t>This paper is the first presentation of UV irradiance measurements made at SANAE, the South African Antarctic base. A Yankee Environmental Systems pyranometer was used to record UV-B at: five-minute intervals throughout 1994. From this database, the noon and daily integrated erythemal irradiances as well as UV-B and erythemal irradiances as a function of Solar Zenith Angle (SZA), have been extracted. Some of the erythemal irradiance data are also given in terms of burntime and UV index to facilitate comparison with other databases. SAOZ (Systeme d'Analyse pour Observation Zenithale) total column ozone measurements were plotted together with the UV-B data. The comparison clearly shows that when ozone levels reach their minimum of 150 DU, the surface UV-B irradiance more than doubles, resulting in surprisingly high erythemal irradiance levels of more than 200 mW m(-2) at noon. This is as much as in subtropical Durban during the equinox and equivalent to a UV index of 9 with skin burntimes of as little as 15 minutes. The data were found closely to match predictions from a clear-sky model that takes-atmospheric scattering and absorption, as well as surface reflection, into account. Modulation of surface UV irradiance by clouds at SANAE appears to be small so that the ozone abundance and seasonal variation in SZA appear to be the only significant factors affecting UV irradiance levels. The relationship between irradiance and the ozone abundance was quantified.</t>
  </si>
  <si>
    <t>Univ KwaZulu Natal, Dept Phys, ZA-4041 Durban, South Africa; Univ KwaZulu Natal, Dept Geog &amp; Environm Sci, ZA-4041 Durban, South Africa; NIWA, Omakau, Central Otago, New Zealand</t>
  </si>
  <si>
    <t>University of Kwazulu Natal; University of Kwazulu Natal; National Institute of Water &amp; Atmospheric Research (NIWA) - New Zealand</t>
  </si>
  <si>
    <t>Prause, AR (corresponding author), Univ KwaZulu Natal, Dept Phys, ZA-4041 Durban, South Africa.</t>
  </si>
  <si>
    <t>prause@scifs1.und.ac.za</t>
  </si>
  <si>
    <t>Bodeker, Greg E/A-8870-2008; Diab, Roseanne Denise/HHM-4273-2022</t>
  </si>
  <si>
    <t>Bodeker, Gregory/0000-0003-1094-5852; Diab, Roseanne/0000-0002-3564-8320</t>
  </si>
  <si>
    <t>ACAD SCIENCE SOUTH AFRICA A S S AF</t>
  </si>
  <si>
    <t>LYNWOOD RIDGE</t>
  </si>
  <si>
    <t>PO BOX 72135, LYNWOOD RIDGE 0040, SOUTH AFRICA</t>
  </si>
  <si>
    <t>0038-2353</t>
  </si>
  <si>
    <t>1996-7489</t>
  </si>
  <si>
    <t>S AFR J SCI</t>
  </si>
  <si>
    <t>S. Afr. J. Sci.</t>
  </si>
  <si>
    <t>184TB</t>
  </si>
  <si>
    <t>WOS:000079628600007</t>
  </si>
  <si>
    <t>Ferreira, SM; Bester, MN</t>
  </si>
  <si>
    <t>Chemical immobilization, physical restraint and stomach lavaging of fur seals at Marion Island</t>
  </si>
  <si>
    <t>SOUTH AFRICAN JOURNAL OF WILDLIFE RESEARCH</t>
  </si>
  <si>
    <t>Arctocephalus; food; field-technique</t>
  </si>
  <si>
    <t>SOUTHERN ELEPHANT SEALS; ARCTOCEPHALUS-GAZELLA; MIROUNGA-LEONINA; HEARD-ISLAND; FEEDING-HABITS; DIET; KETAMINE; FISH; WINTER; PREY</t>
  </si>
  <si>
    <t>The Antarctic and Sub-Antarctic fur seals co-exist at Marion Island. We investigated the suitability of stomach lavaging as a method to determine the diet of these two species. Intramuscular injections of ketamine hydrochloride and xylazine hydrochloride through an unbarbed Telinject-dart resulted in variable degrees of immobilization. Stomach lavaging following immobilization and physical restraint produced low retrieval of stomach contents (7 out of 29 seals). We conclude that the use of these methods to determine otariid diets is limited.</t>
  </si>
  <si>
    <t>Bester, MN (corresponding author), Univ Pretoria, Mammal Res Inst, ZA-0002 Pretoria, South Africa.</t>
  </si>
  <si>
    <t>Bester, Marthán N/E-5387-2010</t>
  </si>
  <si>
    <t>BUREAU SCIENTIFIC PUBL</t>
  </si>
  <si>
    <t>PRETORIA</t>
  </si>
  <si>
    <t>P O BOX 1758, PRETORIA 0001, SOUTH AFRICA</t>
  </si>
  <si>
    <t>0379-4369</t>
  </si>
  <si>
    <t>S AFR J WILDL RES</t>
  </si>
  <si>
    <t>South Afr. J. Wildl. Res.</t>
  </si>
  <si>
    <t>254UK</t>
  </si>
  <si>
    <t>WOS:000083630400001</t>
  </si>
  <si>
    <t>Manabe, S; Stouffer, RJ</t>
  </si>
  <si>
    <t>The role of thermohaline circulation in climate</t>
  </si>
  <si>
    <t>TELLUS SERIES A-DYNAMIC METEOROLOGY AND OCEANOGRAPHY</t>
  </si>
  <si>
    <t>International Symposium to Commemorate the 100th Anniversary of the Birth of Carl Gustaf Rossby (Rossby-100)</t>
  </si>
  <si>
    <t>JUN 08-12, 1998</t>
  </si>
  <si>
    <t>STOCKHOLM, SWEDEN</t>
  </si>
  <si>
    <t>OCEAN-ATMOSPHERE MODEL; NORTH-ATLANTIC OCEAN; YOUNGER DRYAS EVENT; FRESH-WATER INPUT; INTERDECADAL VARIATIONS; SURFACE-TEMPERATURE; CARBON-DIOXIDE; COUPLED MODEL; SEA; CO2</t>
  </si>
  <si>
    <t>This article discusses the role of the THC in climate, based upon the results of several numerical experiments which use a coupled ocean-atmosphere model developed at the Geophysical Fluid Dynamics Laboratory of NOAA, USA. The first part of the article explores the mechanism which is responsible for the abrupt climate change such as the Younger Dryas event using the coupled model. In response to the freshwater discharge into high north Atlantic latitudes over a period of 500 years, the THC in the Atlantic Ocean weakens, reducing surface air temperature over the northern north Atlantic Ocean, the Scandinavian Peninsula, and the circumpolar ocean and Antarctic Continent of the southern hemisphere. Upon the termination of the water discharge at the 500th year, the THC begins to intensify, regaining its original intensity in a few hundred years. In addition, the sudden onset and the termination of the discharge of freshwater induces the multidecadal fluctuation in the intensity of the THC, which generates the almost abrupt change of climate. It is noted that similar but much weaker oscillation of the THC is also evident in the control integration of the coupled model without freshwater forcing. The irregular oscillation of the THC mentioned above appears to be related to the fluctuation of the Subarctic Gyre and associated east Greenland current, yielding the evolution of the surface salinity anomaly which resembles that of great salinity anomaly. The second part of this article describes the response of a coupled ocean-atmosphere model to the doubling and quadrupling of atmospheric carbon dioxide over centuries time-scale. In one integration, the CO2 concentration increases by 1%/year (compounded) until it reaches 4 x the initial value at the 140th year and remains unchanged thereafter. In another integration, the CO2 concentration also incleases at the rate of 1%/year until it reaches 2x the initial value at the 70th year and remains unchanged thereafter. One of the most notable features of the CO2-quadrupling integration is the gradual disappearance of thermohaline circulation in most of the model oceans during the first 250-year period, leaving behind wind-driven cells. For example, thermohaline circulation nearly vanishes in the north Atlantic by the 250 years of the integration and remains very weak until the 900th year. However, it begins to restore the original intensity by the 1600th year. In the CO2-doubling integration, the thermohaline circulation weakens by a factor of more than 2 in the North Atlantic during the first 150 years, but almost recovers its original intensity by the 500th year. The weakening of the THC moderates temporarily the greenhouse warming over the north Atlantic Ocean and its vicinity. In both numerical experiments described above, the initial weakening of the THC results from the capping of oceanic surface by relatively fresh, low-density water, which surpresses the convective cooling of water in the sinking region of the THC.</t>
  </si>
  <si>
    <t>Frontier Res Syst Global Change, Inst Global Change Res, Minato Ku, Tokyo 1056791, Japan; Princeton Univ, NOAA, Geophys Fluid Dynam Lab, Princeton, NJ 08542 USA</t>
  </si>
  <si>
    <t>Japan Agency for Marine-Earth Science &amp; Technology (JAMSTEC); National Oceanic Atmospheric Admin (NOAA) - USA; Princeton University</t>
  </si>
  <si>
    <t>Frontier Res Syst Global Change, Inst Global Change Res, Minato Ku, 7F SEAVANS-N Bldg,Shibaura 1-2-1, Tokyo 1056791, Japan.</t>
  </si>
  <si>
    <t>sm@frontier.esto.or.jp</t>
  </si>
  <si>
    <t>1600-0870</t>
  </si>
  <si>
    <t>TELLUS A</t>
  </si>
  <si>
    <t>Tellus Ser. A-Dyn. Meteorol. Oceanol.</t>
  </si>
  <si>
    <t>Meteorology &amp; Atmospheric Sciences; Oceanography</t>
  </si>
  <si>
    <t>177QZ</t>
  </si>
  <si>
    <t>WOS:000079223700008</t>
  </si>
  <si>
    <t>Hall, DL; Munakata, K; Yasue, S; Mori, S; Kato, C; Koyama, M; Akahane, S; Fujii, Z; Fujimoto, K; Humble, JE; Fenton, AG; Fenton, KB; Duldig, ML</t>
  </si>
  <si>
    <t>Potgieter, MS</t>
  </si>
  <si>
    <t>Sidereal daily variation of galactic cosmic rays</t>
  </si>
  <si>
    <t>TRANSPORT OF GALACTIC AND ANOMALOUS COSMIC RAYS IN THE HELIOSPHERE: OBSERVATIONS, SIMULATIONS AND THEORY</t>
  </si>
  <si>
    <t>D0 6 Symposium of COSPAR Scientific Commission D on the Transport of Galactic and Anomalous Cosmic Rays in the Heliosphere, 32nd COSPAR Scientific Assembly</t>
  </si>
  <si>
    <t>ANISOTROPIES</t>
  </si>
  <si>
    <t>We have analyzed the yearly averaged sidereal daily variations in the count rates of 44 underground muon telescopes by fitting Gaussian functions to the data. These functions represent the Loss-cone (LC) and Tail-in (TI) anisotropies proposed by Nagashima ct al.. The telescopes cover the median rigidity range 143GV-1400GV and the viewing latitude range 73 degrees M-76 degrees S. We find that the TI anisotropy has its reference axis located at declination (delta) approximate to 14 degrees S andright ascension (alpha) approximate to 4.7 sidereal hours. We show that the TI anisotropy is asymmetric about the reference axis and its observed alpha depends on the viewing latitude ofthe telescopes. We also show that the LC anisotropy is symmetric and has a referenceaxis located at the celestial equator and alpha approximate to 13 sidereal hours. From the parameters of the Gaussian fits we devise an empirical model of the sidereal anisotropies which implies that the above characteristics of the anisotropies can explain the north-south asymmetry in the amplitude of the sldereal diurnal variation. Furthermore, we fiIld that the phase of the sidereal semi-diurnal variation of cosmic rays should be recorded at later times when measured from the northern hemisphere compared to observations made from the southern hemisphere. (C) 1999 COSPAR. Published by Elsevier Science Ltd.</t>
  </si>
  <si>
    <t>Shinshu Univ, Fac Sci, Dept Phys, Matsumoto, Nagano 3908621, Japan; Nagoya Univ, Solar Terr Environm Lab, Nagoya, Aichi 4648601, Japan; Univ Tasmania, Sch Math &amp; Phys, Hobart, Tas 7001, Australia; Australian Antarctic Div, Kingston, Tas 7050, Australia</t>
  </si>
  <si>
    <t>Shinshu University; Nagoya University; University of Tasmania; Australian Antarctic Division</t>
  </si>
  <si>
    <t>Hall, DL (corresponding author), Shinshu Univ, Fac Sci, Dept Phys, Matsumoto, Nagano 3908621, Japan.</t>
  </si>
  <si>
    <t>10.1016/S0273-1177(99)00110-6</t>
  </si>
  <si>
    <t>BN23U</t>
  </si>
  <si>
    <t>WOS:000081205800012</t>
  </si>
  <si>
    <t>van Franeker, JA; Gavrilo, M; Mehlum, F; Veit, RR; Woehler, EJ</t>
  </si>
  <si>
    <t>Distribution and abundance of the Antarctic Petrel</t>
  </si>
  <si>
    <t>WATERBIRDS</t>
  </si>
  <si>
    <t>Antarctic Petrel; Thalassoica antarctica; breeding; distribution; pelagic; population</t>
  </si>
  <si>
    <t>SOUTHERN DRAKE PASSAGE; DRONNING-MAUD LAND; PRYDZ BAY-REGION; THALASSOICA-ANTARCTICA; WEDDELL SEA; EUPHAUSIA-SUPERBA; BRANSFIELD STRAIT; PREY CONSUMPTION; EAST ANTARCTICA; MARINE MAMMALS</t>
  </si>
  <si>
    <t>Published and unpublished information on the distribution and abundance of the Antarctic Petrel (Thalassoica antarctica) is reviewed. Currently 35 colonies with approximately half a million breeding pairs are known. All but one of these known colonies are situated in East Antarctica. However, an estimate derived from at sea studies in three of four apparent centers of oceanic occurrence suggests a population as high as four to seven million breeding pairs (10 to 20 million individuals). In spite of the tentative nature of such an estimate, the difference xith the colony-derived figure strongly suggests the existence of large, currently undiscovered colonies. particularly in western Antarctica and Victoria Land, where a complete mismatch exists between bird observations at sea and known colonies. In eastern Antarctica, in addition to undiscovered colonies. some known ones could be considerably larger than currently documented.</t>
  </si>
  <si>
    <t>DLO, IBN, Inst Forestry &amp; Nat Res, NL-1790 AD Den Burg, Texel, Netherlands; Arctic &amp; Antarctic Res Inst RAE, St Petersburg 199397, Russia; Norwegian Polar Inst, N-0301 Oslo, Norway; CUNY Coll Staten Isl, Dept Biol, Staten Isl, NY 10314 USA; Australian Antarctic Div, Kingston, Tas 7050, Australia</t>
  </si>
  <si>
    <t>Norwegian Polar Institute; City University of New York (CUNY) System; College of Staten Island (CUNY); Australian Antarctic Division</t>
  </si>
  <si>
    <t>van Franeker, JA (corresponding author), DLO, IBN, Inst Forestry &amp; Nat Res, POB 167, NL-1790 AD Den Burg, Texel, Netherlands.</t>
  </si>
  <si>
    <t>Gavrilo, Maria V/R-7091-2016</t>
  </si>
  <si>
    <t>Gavrilo, Maria V/0000-0002-3500-9617; Woehler, Eric/0000-0002-1125-0748</t>
  </si>
  <si>
    <t>WATERBIRD SOC</t>
  </si>
  <si>
    <t>NATL MUSEUM NATURAL HISTORY SMITHSONIAN INST, WASHINGTON, DC 20560 USA</t>
  </si>
  <si>
    <t>0738-6028</t>
  </si>
  <si>
    <t>Waterbirds</t>
  </si>
  <si>
    <t>10.2307/1521989</t>
  </si>
  <si>
    <t>Ornithology</t>
  </si>
  <si>
    <t>252NT</t>
  </si>
  <si>
    <t>WOS:000083508100003</t>
  </si>
  <si>
    <t>Lorentsen, SH; Anker-Nilssen, T</t>
  </si>
  <si>
    <t>Diet of Common Murres wintering in the northern Skagerrak during 1988-1990: Variation with sex, age and season</t>
  </si>
  <si>
    <t>Common Murre; Uria aalge; diet; consumption estimates; Skagerrak</t>
  </si>
  <si>
    <t>THICK-BILLED MURRES; ANTARCTIC PETREL; FISH; AVAILABILITY; SEABIRDS; CHICK; MASS; AUKS</t>
  </si>
  <si>
    <t>The winter diet of 522 Common Murres (Uria aalge) killed in fishing nets off Ostfold, SE Norway was studied by analysis of stomach contents. Temporal variations throughout the winter 1989-1990 and sex and age specific differences in food choice were given special attention. A total of 1,864 food items were found in the 477 stomachs with contents. Otoliths and other fish remains constituted nearly 90% of the items, while 10% were remains of polychaete worms. Clupeids, gadids and gobids were the most common fish groups, both numerically and by frequency of occurrence. Although there were no sex and age specific differences in the frequencies of occurrence of the main prey groups, such differences were evident when data were expressed numerically Immatures took more clupeids, gobids and polychaetes but fewer gadids than did adults. Males took more clupeids, gadids and polychaetes than did females: females took more gobids than did males. The frequency of occurrence of clupeids, gadids and gobids in adults and immatures showed no significant variation during the winter. There was, however, a significant seasonal variation in the numerical occurrence of gadid items, but not of clupeid items, in stomachs from adults and juveniles during the three two-month periods in the winter 1989-1990. If this diet was representative, the total food consumption by Common Murres in Skagerrak during October 1989-March 1990 was about 12,520 metric tons, of which clupeids constituted 5,770 tons, gadids 6,435 tons. gobids 50 tons, and polychaetes 63 tons. The consumption of both clupeids and gadids totalled approximately 10% of the total landings by commercial fisheries in the North Sea and Skagerrak areas.</t>
  </si>
  <si>
    <t>Norwegian Inst Nat Res, N-7005 Trondheim, Norway</t>
  </si>
  <si>
    <t>Norwegian Institute Nature Research</t>
  </si>
  <si>
    <t>Norwegian Inst Nat Res, Tungasletta 2, N-7005 Trondheim, Norway.</t>
  </si>
  <si>
    <t>shl@ninatrd.ninaniku.no</t>
  </si>
  <si>
    <t>Anker-Nilssen, Tycho/AAB-7666-2022</t>
  </si>
  <si>
    <t>Anker-Nilssen, Tycho/0000-0002-1030-5524; Lorentsen, Svein-Hakon/0000-0002-7867-0034</t>
  </si>
  <si>
    <t>1524-4695</t>
  </si>
  <si>
    <t>1938-5390</t>
  </si>
  <si>
    <t>10.2307/1521996</t>
  </si>
  <si>
    <t>WOS:000083508100010</t>
  </si>
  <si>
    <t>Fraser, WR; Carlson, JC; Duley, PA; Holm, EJ; Patterson, DL</t>
  </si>
  <si>
    <t>Using kite-based aerial photography for conducting Adelie penguin censuses in Antarctica</t>
  </si>
  <si>
    <t>Adelie Penguin; aerial photography; Antarctica; census; kite photography; monitoring; population; seabirds</t>
  </si>
  <si>
    <t>BREEDING SUCCESS; ECOLOGY</t>
  </si>
  <si>
    <t>Adelie Penguins (Pygoscelis adeliae) are sensitive indicators of change in Antarctic marine and terrestrial habitats, and have been intensively monitored as part of international efforts to understand the role of apex predators in the Southern Oceans. Among the key variables annually assessed by these monitoring programs are measures of population change which are typically obtained with ground and aerial censuses. Aerial censuses, how ever, are expensive and logistically complex, while the accuracy of ground censuses tends to decrease as colony size increases, especially in complex landscapes where high relief may block sections of the colony from the observer's view. Here we describe the use of kites equipped with remote-controlled cameras to census Adelie Penguin colonies at Palmer Station, a research site in the western Antarctic Peninsula region. We suggest that this method, which produced excellent results, may bridge an important gap between ground and aerial censuses, offering the opportunity to obtain better data for large or difficult to census colonies at a fraction of the cost of aerial surveys.</t>
  </si>
  <si>
    <t>Montana State Univ, Dept Biol, Polar Oceans Res Grp, Bozeman, MT 59717 USA</t>
  </si>
  <si>
    <t>Montana State University System; Montana State University Bozeman</t>
  </si>
  <si>
    <t>Fraser, WR (corresponding author), Montana State Univ, Dept Biol, Polar Oceans Res Grp, Bozeman, MT 59717 USA.</t>
  </si>
  <si>
    <t>10.2307/1522120</t>
  </si>
  <si>
    <t>285WE</t>
  </si>
  <si>
    <t>WOS:000085410700012</t>
  </si>
  <si>
    <t>Gales, NJ; Fletcher, DJ</t>
  </si>
  <si>
    <t>Abundance, distribution and status of the New Zealand sea lion, Phocarctos hookeri</t>
  </si>
  <si>
    <t>WILDLIFE RESEARCH</t>
  </si>
  <si>
    <t>NEOPHOCA-CINEREA; BREEDING CYCLE; FUR SEALS; GROWTH</t>
  </si>
  <si>
    <t>The abundance of the New Zealand sea lion, Phocarctos hookeri, was estimated using a model that incorporated estimated pup production. Pups are born at only five sites, four of which are at the sub-Antarctic Auckland Islands, which lie to the south of New Zealand. The remaining breeding site is at Campbell Island in the same region. Pup production was estimated during the 1994/95 and 1995/96 breeding seasons from mark-recapture studies at the two largest sea lion rookeries, at the Auckland Islands (Sandy Bay and Dundas Island), which account for almost 90% of total pup production for the species. Pup production for the other sites was estimated from direct counts or, in the case of Campbell Island, from recent tagging data. Total pup production estimates for all sites during the 1994/95 and 1995/96 breeding seasons are 2640 and 2807 respectively. During the four-week pupping season, pup mortality at most sites was estimated to be about 10%. The estimates of absolute abundance based on pup production for the two breeding seasons were 11700 (95% confidence interval (CI): 10500-13100) and 12500 (95% CI: 11100-14000) respectively. This population abundance is among the smallest reported for a species within the Otariidae. The highly localised, and historically reduced distribution make this species vulnerable to impact and warrants particular attention from conservation managers. In particular, the potential impact of the annual bycatch of P. hookeri in a trawl fishery requires close monitoring and, ideally, some mitigation action.</t>
  </si>
  <si>
    <t>Dept Conservat, Wellington, New Zealand; Univ Otago, Dept Math &amp; Stat, Dunedin, New Zealand</t>
  </si>
  <si>
    <t>University of Otago</t>
  </si>
  <si>
    <t>Gales, NJ (corresponding author), Conservat &amp; Land Management, Bentley Delivery Ctr,Locked Bag 104, Bentley, WA 6983, Australia.</t>
  </si>
  <si>
    <t>Fletcher, David/AAT-2308-2020</t>
  </si>
  <si>
    <t>Fletcher, David/0000-0003-1988-5796</t>
  </si>
  <si>
    <t>1035-3712</t>
  </si>
  <si>
    <t>1448-5494</t>
  </si>
  <si>
    <t>WILDLIFE RES</t>
  </si>
  <si>
    <t>Wildl. Res.</t>
  </si>
  <si>
    <t>10.1071/WR98022</t>
  </si>
  <si>
    <t>180TZ</t>
  </si>
  <si>
    <t>WOS:000079402400003</t>
  </si>
  <si>
    <t>McMahon, CR; Holley, D; Robinson, S</t>
  </si>
  <si>
    <t>The diet of itinerant male Hooker's sea lions, Phocarctos hookeri, at sub-Antarctic Macquarie Island</t>
  </si>
  <si>
    <t>OTOLITHS</t>
  </si>
  <si>
    <t>Scats were collected from itinerant male Hooker's sea lions, Phocarctos hookeri, at Macquarie Island and the uneroded faunal remains used to assess the diet. Uneroded sagittal otoliths were used to identify teleost fish and to calculate fish size. Prey items included 14 taxa of teleost fish, cephalopods, gastropods, crustaceans and fur seals. Fish constituted the primary component of the diet. Prey species previously uncommon in the diet of seals and penguins around Macquarie Island were commonly eaten by Hooker's sea lions. The sub-Antarctic horse fish (Zanclorhynchus spinifer) and the Patagonian tooth fish (Dissostichus eleginoides) were the two most abundant species and occurred in 62.5% and 41.7% of all scats respectively. There were no age-specific and individual differences in the diet of sea lions. Seasonal variances in diet were absent. Small plastic fragments (diameter similar to 1 mm) were found only in association with otoliths of Electrona subaspera. Some overlap was seen between the diet of itinerant male Hooker's sea lions and the commercial fisheries that currently operate around Macquarie Island.</t>
  </si>
  <si>
    <t>Australian Antarctic Div, Kingston, Tas 7050, Australia; Univ Pretoria, Mammal Res Inst, Dept Zool &amp; Entomol, ZA-0002 Pretoria, Gauteng, South Africa; Univ Tasmania, Dept Zool, Hobart, Tas 7001, Australia</t>
  </si>
  <si>
    <t>Australian Antarctic Division; University of Pretoria; University of Tasmania</t>
  </si>
  <si>
    <t>McMahon, CR (corresponding author), Australian Antarctic Div, Channel Highway, Kingston, Tas 7050, Australia.</t>
  </si>
  <si>
    <t>McMahon, Clive R/D-5713-2013</t>
  </si>
  <si>
    <t>McMahon, Clive R/0000-0001-5241-8917</t>
  </si>
  <si>
    <t>10.1071/WR98079</t>
  </si>
  <si>
    <t>236AT</t>
  </si>
  <si>
    <t>WOS:000082576600011</t>
  </si>
  <si>
    <t>de Jong, JTM; den Das, J; Bathmann, U; Stoll, MHC; Kattner, G; Nolting, RF; de Baar, HJW</t>
  </si>
  <si>
    <t>Dissolved iron at subnanomolar levels in the Southern Ocean as determined by ship-board analysis</t>
  </si>
  <si>
    <t>ANALYTICA CHIMICA ACTA</t>
  </si>
  <si>
    <t>Marine Analytical Chemistry Workshop (MARCH MOR)</t>
  </si>
  <si>
    <t>NOV 17-19, 1997</t>
  </si>
  <si>
    <t>flow injection analysis; iron; seawater; Antarctica; polar front</t>
  </si>
  <si>
    <t>FLOW-INJECTION-ANALYSIS; CHEMILUMINESCENCE DETECTION; TRACE-METALS; WATER COLUMN; WEDDELL SEA; SEAWATER; PACIFIC; COPPER; PRECONCENTRATION; PHYTOPLANKTON</t>
  </si>
  <si>
    <t>The biogeochemistry of iron was investigated in remote waters of the Antarctic ocean in the austral summer of 1995/1996. A sensitive flow injection analyser, based on in-line preconcentration and luminol chemiluminescence detection (FIA-CL), was used for underway surface measurements and vertical profiling during a fine scale survey in the Polar Front (PF) in the Atlantic sector of the Southern Ocean. Results indicated a dynamic environment with dissolved iron concentrations ranging from 0.05 to 0.3 nM. Distributions are consistent with chlorophyll a and fCO(2) suggesting a coupling with these parameters. The highest iron concentrations (0.3 nM) were found where chlorophyll a abundance was highest and CO2 undersaturation the most pronounced. The vertical distribution (upper 500 m) revealed a nutrient type distribution with low subsurface values (0.1 nM) gradually increasing to similar to 0.3 nM at depth. (C) 1998 Elsevier Science B.V. All rights reserved.</t>
  </si>
  <si>
    <t>Netherlands Inst Sea Res, NL-1790 AB Den Burg, Island Texel, Netherlands; Alfred Wegener Inst Polar &amp; Marine Res, D-27515 Bremerhaven, Germany</t>
  </si>
  <si>
    <t>Utrecht University; Royal Netherlands Institute for Sea Research (NIOZ); Helmholtz Association; Alfred Wegener Institute, Helmholtz Centre for Polar &amp; Marine Research</t>
  </si>
  <si>
    <t>de Jong, JTM (corresponding author), Netherlands Inst Sea Res, POB 59, NL-1790 AB Den Burg, Island Texel, Netherlands.</t>
  </si>
  <si>
    <t>Bathmann, Ulrich/ISV-4351-2023; de Jong, Jeroen/F-3190-2011</t>
  </si>
  <si>
    <t>de Jong, Jeroen/0000-0002-3034-5929</t>
  </si>
  <si>
    <t>0003-2670</t>
  </si>
  <si>
    <t>ANAL CHIM ACTA</t>
  </si>
  <si>
    <t>Anal. Chim. Acta</t>
  </si>
  <si>
    <t>DEC 31</t>
  </si>
  <si>
    <t>10.1016/S0003-2670(98)00427-9</t>
  </si>
  <si>
    <t>Chemistry, Analytical</t>
  </si>
  <si>
    <t>149RM</t>
  </si>
  <si>
    <t>WOS:000077619200002</t>
  </si>
  <si>
    <t>Brey, T; Gerdes, D</t>
  </si>
  <si>
    <t>High Antarctic macrobenthic community production</t>
  </si>
  <si>
    <t>JOURNAL OF EXPERIMENTAL MARINE BIOLOGY AND ECOLOGY</t>
  </si>
  <si>
    <t>Antarctica; benthic invertebrates; benthic production</t>
  </si>
  <si>
    <t>MARINE BENTHIC INVERTEBRATES; SECONDARY PRODUCTION; ORGANIC-CARBON; ENERGY VALUES; CHUKCHI SEAS; WEDDELL SEA; SALT-MARSH; BIOMASS; POPULATIONS; SHELF</t>
  </si>
  <si>
    <t>Production and productivity (P/B ratio) of the high Antarctic Weddell Sea and Lazarev Sea macrozoobenthos are estimated by an empirical multiple non-linear model (artificial neural network) based on biomass data and other biotic and abiotic parameters. Average community production decreases with depth from 4.8 g C m(-2) year(-1) (100-300 m) to 0.1 g C m(-2) year(-1) (1500-4300 m). Community PIE ratio increases with depth from 0.18 year(-1) to 0.55 year(-1). Taking into account the effects of water depth on production and of temperature on P/E ratio, Antarctic communities show no evidence of unique characteristics with respect to overall energy flow. (C) 1998 Elsevier Science B.V. All rights reserved.</t>
  </si>
  <si>
    <t>Alfred Wegener Inst Polar &amp; Marine Res, D-27576 Bremerhaven, Germany</t>
  </si>
  <si>
    <t>Brey, T (corresponding author), Alfred Wegener Inst Polar &amp; Marine Res, POB 120161, D-27576 Bremerhaven, Germany.</t>
  </si>
  <si>
    <t>tbrey@awi-bremerhaven.de</t>
  </si>
  <si>
    <t>Brey, Thomas/0000-0002-6345-2851</t>
  </si>
  <si>
    <t>0022-0981</t>
  </si>
  <si>
    <t>J EXP MAR BIOL ECOL</t>
  </si>
  <si>
    <t>J. Exp. Mar. Biol. Ecol.</t>
  </si>
  <si>
    <t>10.1016/S0022-0981(98)00060-4</t>
  </si>
  <si>
    <t>Ecology; Marine &amp; Freshwater Biology</t>
  </si>
  <si>
    <t>155XH</t>
  </si>
  <si>
    <t>WOS:000077971400003</t>
  </si>
  <si>
    <t>Eugster, O; Polnau, E; Terribilini, D</t>
  </si>
  <si>
    <t>Cosmic ray- and gas retention ages of newly recovered and of unusual chondrites</t>
  </si>
  <si>
    <t>EARTH AND PLANETARY SCIENCE LETTERS</t>
  </si>
  <si>
    <t>noble gases; isotopes; chondrites; cosmochronology; absolute ages</t>
  </si>
  <si>
    <t>H-CHONDRITES; NOBLE-GASES; METEORITES; HISTORY; YANZHUANG</t>
  </si>
  <si>
    <t>We report the isotopic abundances of He, Ne, and Ar of four chondrites that fell in China, Jiange (H5), Juancheng (H5), Yanzhuang (H6), and Bo Xian (LL4), of Kagarlyk (L6) fallen in Russia, of Kress (L6) and Hunter (LL6) found in the USA, and of two Antarctic chondrites, Y-73001 (H4-6) and Y-73003 (L5-6). The most important data that have direct consequences for the study of meteorite delivery dynamics to Earth crossing orbits are the cosmic ray exposure ages. They provide the constraints on meteorite origin, orbital evolution, and regolith dynamics of the meteorite parent bodies. Dynamical studies show how meteorites can reach Earth within a few million years. This time-scale can be checked against the cosmic ray exposure age determined from laboratory studies of the nuclides accumulated as a result of their exposure to high energy particles. For Jiange, Juanchen, Yanzhuang, and Bo Xian we obtain cosmic ray exposure ages of 6.0, 5.3, 2.14, and 37.3 Ma, respectively. Yanzhuang yields extremely low He-4 and Ar-40 gas retention ages and we conclude that this material experienced a thermal event at or before break-up of its parent body. Kagarlyk fell within five hours after the Tunguska event in 1908 but we find that this meteorite is not related with the Tunguska bolide. Kress yields an exposure age of 32 Ma whereas Hunter with 0.5 Ma shows the shortest exposure age for any LL chondrite dated until now. The two Antarctic finds, Y-73001 and Y-73003 yield exposure ages of 16.1 Ma and 23.2 Ma, respectively. (C) 1998 Elsevier Science B.V. All rights reserved.</t>
  </si>
  <si>
    <t>Eugster, O (corresponding author), Univ Bern, Inst Phys, Sildlerstr 5, CH-3012 Bern, Switzerland.</t>
  </si>
  <si>
    <t>Polnau, Ernst/0000-0002-0979-8712</t>
  </si>
  <si>
    <t>0012-821X</t>
  </si>
  <si>
    <t>EARTH PLANET SC LETT</t>
  </si>
  <si>
    <t>Earth Planet. Sci. Lett.</t>
  </si>
  <si>
    <t>DEC 30</t>
  </si>
  <si>
    <t>10.1016/S0012-821X(98)00242-8</t>
  </si>
  <si>
    <t>153TB</t>
  </si>
  <si>
    <t>WOS:000077847800008</t>
  </si>
  <si>
    <t>Hwang, DY; Mebel, AM</t>
  </si>
  <si>
    <t>Ab initio study on the reaction mechanism of ozone with the chlorine atom</t>
  </si>
  <si>
    <t>JOURNAL OF CHEMICAL PHYSICS</t>
  </si>
  <si>
    <t>CONFIGURATION-INTERACTION; ANTARCTIC OZONE; STRATOSPHERIC OZONE; GAUSSIAN-2 THEORY; ENERGIES; CHLOROFLUOROMETHANES; DESTRUCTION; GEOMETRIES; KINETICS; MODEL</t>
  </si>
  <si>
    <t>Ab initio calculations of the potential energy surface for the Cl+O-3 reaction have been performed using the MP2, QCISD(T), CCSD(T), G2, G2M, CASPT2, and MRCI methods with various basis sets. The results show that the reaction pathway can be divided in two parts. The reaction starts on the nonplanar pathway when the Cl atom attacks a terminal oxygen of ozone via TS1, producing a virtual intermediate, a nonplanar chlorine trioxide B. B isomerizes to another virtual intermediate, planar C, which immediately dissociates to ClO+O-2 in the coplanar manner. The ClOOO intermediates B and C disappear at the QCISD level of theory. The calculations confirm the direct reaction mechanism for Cl+O-3 but the existence of a very flat plateau on the potential energy surface in the region of B, TS2, C, and TS3 can have some effect on the reaction dynamics. TS1 is the critical transition state determining the rate of the Cl+O-3 reaction. High level calculations, such as QCISD(T), CCSD(T), MRCI, and CASPT2 with the basis sets from moderate to very large, at the QCISD and CASSCF optimized geometry of TS1, consistently predict the barrier to be about 4-5 kcal/mol, much higher than the experimental value (below 1 kcal/mol). New experimental measurements as well as even higher level theoretical calculations are encouraged in order to resolve this discrepancy. (C) 1998 American Institute of Physics. [S0021-9606(98)02948-1].</t>
  </si>
  <si>
    <t>Tamkang Univ, Dept Chem, Tamsui 25137, Taiwan; Acad Sinica, Inst Atom &amp; Mol Sci, Taipei 10764, Taiwan</t>
  </si>
  <si>
    <t>Tamkang University; Academia Sinica - Taiwan</t>
  </si>
  <si>
    <t>Hwang, DY (corresponding author), Tamkang Univ, Dept Chem, Tamsui 25137, Taiwan.</t>
  </si>
  <si>
    <t>Mebel, Alexander M/A-5234-2009</t>
  </si>
  <si>
    <t>AMER INST PHYSICS</t>
  </si>
  <si>
    <t>WOODBURY</t>
  </si>
  <si>
    <t>CIRCULATION FULFILLMENT DIV, 500 SUNNYSIDE BLVD, WOODBURY, NY 11797-2999 USA</t>
  </si>
  <si>
    <t>0021-9606</t>
  </si>
  <si>
    <t>J CHEM PHYS</t>
  </si>
  <si>
    <t>J. Chem. Phys.</t>
  </si>
  <si>
    <t>DEC 22</t>
  </si>
  <si>
    <t>10.1063/1.477781</t>
  </si>
  <si>
    <t>Chemistry, Physical; Physics, Atomic, Molecular &amp; Chemical</t>
  </si>
  <si>
    <t>Chemistry; Physics</t>
  </si>
  <si>
    <t>148QB</t>
  </si>
  <si>
    <t>WOS:000077542400032</t>
  </si>
  <si>
    <t>Zane, L; Ostellari, L; Maccatrozzo, L; Bargelloni, L; Battaglia, B; Patarnello, T</t>
  </si>
  <si>
    <t>Molecular evidence for genetic subdivision of Antarctic krill (Euphausia superba Dana) populations</t>
  </si>
  <si>
    <t>PROCEEDINGS OF THE ROYAL SOCIETY B-BIOLOGICAL SCIENCES</t>
  </si>
  <si>
    <t>mtDNA; ND1; Euphausia superba; mismatch distribution; population genetics; Antarctic Ocean</t>
  </si>
  <si>
    <t>MITOCHONDRIAL-DNA; POLYMORPHISM; VARIABILITY; EVOLUTION; ABUNDANCE; REGION; GROWTH; OCEAN</t>
  </si>
  <si>
    <t>Antarctic krill (Euphausia superba Dana) is a key species in the Antarctic food web and occurs on a circumcontinental scale. Population genetic structure of this species was investigated by sequence analysis of the,ND1 mitochondrial gene in four population samples collected at different geographical localities around the Antarctic continent. Results indicate the existence of significant genetic differences between samples, and we suggest that oceanographic barriers could be sufficiently strong and temporally stable to restrict gene flow between distinct areas. Moreover, our data indicate that Antarctic krill is not at mutation-drift equilibrium and that the species possibly has a low effective population size as compared to the census size.</t>
  </si>
  <si>
    <t>Univ Padua, Dipartimento Biol, I-35121 Padua, Italy</t>
  </si>
  <si>
    <t>University of Padua</t>
  </si>
  <si>
    <t>Patarnello, T (corresponding author), Univ Padua, Dipartimento Biol, Via Ugo Bassi 58-B, I-35121 Padua, Italy.</t>
  </si>
  <si>
    <t>patarnel@civ.bio.unipd.it</t>
  </si>
  <si>
    <t>Zane, Lorenzo/G-6249-2010</t>
  </si>
  <si>
    <t>Zane, Lorenzo/0000-0002-6963-2132; PATARNELLO, Tomaso/0000-0003-1794-5791</t>
  </si>
  <si>
    <t>ROYAL SOC</t>
  </si>
  <si>
    <t>6-9 CARLTON HOUSE TERRACE, LONDON SW1Y 5AG, ENGLAND</t>
  </si>
  <si>
    <t>0962-8452</t>
  </si>
  <si>
    <t>P ROY SOC B-BIOL SCI</t>
  </si>
  <si>
    <t>Proc. R. Soc. B-Biol. Sci.</t>
  </si>
  <si>
    <t>10.1098/rspb.1998.0588</t>
  </si>
  <si>
    <t>Biology; Ecology; Evolutionary Biology</t>
  </si>
  <si>
    <t>Life Sciences &amp; Biomedicine - Other Topics; Environmental Sciences &amp; Ecology; Evolutionary Biology</t>
  </si>
  <si>
    <t>154VX</t>
  </si>
  <si>
    <t>WOS:000077911400007</t>
  </si>
  <si>
    <t>Peacock, DCP; Anderson, MW; Morris, A; Randall, DE</t>
  </si>
  <si>
    <t>Evidence for the importance of 'small' faults on block rotation</t>
  </si>
  <si>
    <t>TECTONOPHYSICS</t>
  </si>
  <si>
    <t>Symposium on Crustal Rotations - Causes and Consequences, at the 9th Meeting of European-Union-of-Geosciences</t>
  </si>
  <si>
    <t>MAR 23-27, 1997</t>
  </si>
  <si>
    <t>STRASBOURG, FRANCE</t>
  </si>
  <si>
    <t>faults; rotation; strain; fractal</t>
  </si>
  <si>
    <t>CRUSTAL ROTATIONS; SHEAR ZONE; SOUTHERN-CALIFORNIA; MODEL; EARTHQUAKES; DEFORMATION; STRAIN; CONSTRAINTS; KINEMATICS; EVOLUTION</t>
  </si>
  <si>
    <t>Field and earthquake data are presented which show that small faults can be important during block rotation. 'Small' here means those faults which are at least an order of magnitude smaller than the largest faults at a particular scale of observation. The NW-SE-trending dextral faults of SW England have millimetres to kilometres of displacement. The largest of these faults, such as the Sticklepath-Lustleigh fault, do not appear to cause more than a few degrees of rotation from the general E-W strike of beds. Tens of degrees of rotation are often visible, however, on faults with millimetres of displacement. Similarly, the apparent rotation of beds in the Badajoz-Cordoba Shear Zone, Spain, increases as the resolution of the faults is increased. The power-law scaling relationship of earthquake magnitudes in the San Andreas fault zone illustrates that small faults can also be important in regions of active block rotation. 'Small' faults can allow deformation within rotating blocks and can allow high displacement gradients to occur on the block-bounding faults. This would reduce the need for void creation, which is a requirement of rigid block rotation models. A tentative model is presented which incorporates the concept that fault behaviour is fractal, emphasising the contribution of small faults. It is suggested that future studies of block rotation should rigorously test the contribution of 'small' faults, and that particular care is needed when comparing palaeomagnetic data with regional-scale structures. (C) 1998 Elsevier Science B.V. All rights reserved.</t>
  </si>
  <si>
    <t>Univ Leeds, Sch Earth Sci, Rock Deformat Res Grp, Leeds LS2 9JT, W Yorkshire, England; Univ Plymouth, Dept Geol Sci, Plymouth PL4 8AA, Devon, England; British Antarctic Survey, Cambridge CB3 0ET, England</t>
  </si>
  <si>
    <t>University of Leeds; University of Plymouth; UK Research &amp; Innovation (UKRI); Natural Environment Research Council (NERC); NERC British Antarctic Survey</t>
  </si>
  <si>
    <t>Peacock, DCP (corresponding author), Univ Leeds, Sch Earth Sci, Rock Deformat Res Grp, Leeds LS2 9JT, W Yorkshire, England.</t>
  </si>
  <si>
    <t>d.peacock@earth.leeds.ac.uk</t>
  </si>
  <si>
    <t>Anderson, Mark/H-7438-2013</t>
  </si>
  <si>
    <t>Morris, Antony/0000-0003-2862-7377; Peacock, David/0000-0002-6337-4646</t>
  </si>
  <si>
    <t>0040-1951</t>
  </si>
  <si>
    <t>Tectonophysics</t>
  </si>
  <si>
    <t>DEC 20</t>
  </si>
  <si>
    <t>10.1016/S0040-1951(98)00195-4</t>
  </si>
  <si>
    <t>161ZA</t>
  </si>
  <si>
    <t>WOS:000078319400002</t>
  </si>
  <si>
    <t>Randall, DE</t>
  </si>
  <si>
    <t>A new Jurassic-Recent apparent polar wander path for South America and a review of central Andean tectonic models</t>
  </si>
  <si>
    <t>apparent polar wander; South America; central Andes; tectonic rotation</t>
  </si>
  <si>
    <t>K-AR AGES; CRETACEOUS VOLCANIC-ROCKS; VERTICAL-AXIS ROTATIONS; PLATE-BOUNDARY ZONE; NORTHERN CHILE; BOLIVIAN OROCLINE; STRUCTURAL CONSTRAINTS; PALEOMAGNETIC EVIDENCE; IGNEOUS ROCKS; COUNTERCLOCKWISE ROTATION</t>
  </si>
  <si>
    <t>The Jurassic to Recent palaeomagnetic data from the stable cratonic areas of South America and Africa are reviewed and evaluated. From the combined data set seven mean reference pole positions are calculated for the Early, Middle and Late Jurassic, Early and Late Cretaceous, Palaeogene and Neogene. Most of these new palaeopoles are well defined and indicate a complex course of apparent polar wander for the South American plate. Comparison of the palaeomagnetic data from the Andean margin with the reference poles indicates vertical axis rotations defining a broad pattern of anticlockwise rotations north of the Arica Deflection at approximately 19 degrees S, and clockwise rotations to the south. Further analysis indicates, however, that the distribution and magnitude of rotations is more complicated than this broad division. Tectonic models proposed to explain the pattern of rotations, and the possible origins of the Arica Deflection, are discussed. It is suggested that the rotations probably result from localised in situ rotations controlled by strike-slip fault systems or thrust sheets rather than large-scale rotation mechanisms. The broad rotation pattern may result from the influence of pre-existing structures in the margin or variations in the flexural rigidity of the Brazilian Shield behind the deformation zone. (C) 1998 Elsevier Science B.V. All rights reserved.</t>
  </si>
  <si>
    <t>Univ Plymouth, Dept Geol Sci, Plymouth PL4 8AA, Devon, England</t>
  </si>
  <si>
    <t>University of Plymouth</t>
  </si>
  <si>
    <t>British Antarctic Survey, NERC, Madingley Rd,High Cross, Cambridge CB3 0ET, England.</t>
  </si>
  <si>
    <t>darrenr@earth.ox.ac.uk</t>
  </si>
  <si>
    <t>1879-3266</t>
  </si>
  <si>
    <t>10.1016/S0040-1951(98)00198-X</t>
  </si>
  <si>
    <t>WOS:000078319400005</t>
  </si>
  <si>
    <t>Taylor, GK; Grocott, J; Pope, A; Randall, DE</t>
  </si>
  <si>
    <t>Mesozoic fault systems, deformation and fault block rotation in the Andean forearc: a crustal scale strike-slip duplex in the Coastal Cordillera of northern Chile</t>
  </si>
  <si>
    <t>faults; tectonics; palaeomagnetism; rotation; South America</t>
  </si>
  <si>
    <t>PLATE-BOUNDARY ZONE; BOLIVIAN OROCLINE; STRUCTURAL CONSTRAINTS; PALEOMAGNETISM; SOUTH; AR-40/AR-39; PERU</t>
  </si>
  <si>
    <t>In this paper we discuss the evolution and tectonic significance of the Mesozoic trench-parallel fault systems which affected the Coastal Cordillera and their relation to magmatism and crustal rotation. The oldest, extensional, fault system separates basement from rift-related Late Triassic and younger sedimentary units. This system [I] subsequently developed into a wider extensional fault system which acted as the locus of magma ascent and emplacement of the Coastal Batholith during much of the Jurassic to earliest Cretaceous period. This extensional fault system defined the forearc sliver during this period and was the consequence of a retreating subduction boundary, During the Early Cretaceous (c. 132-125 Ma) the kinematics of this fault system changed to transtension [II] and accommodated a major component of left-lateral strike-slip motion, the principal fault being the Atacama Fault Zone along which plutons continued to be emplaced. The final phase of pluton emplacement within the Coastal Cordillera appears to be c, 106 Ma, after which this magmatic are and fault system was abandoned. An Late Cretaceous are and fault system [III] developed some 20 Ma later and located some 50 km to the east in what is now the Central Valley of northern Chile. This paper seeks to show that the Coastal Cordillera was deformed as a whole by this Late Cretaceous fault system [III] which formed a crustal-scale left-lateral transpressional duplex. During this deformation the thermally weakened crust was dissected into a series of large-scale blocks bounded by NW-trending left-lateral strike-slip faults which merge into a NNE-SSW fault zone which forms the eastern boundary to the duplex. We term this eastern boundary zone the Central Valley Fault Zone (CVFZ) and this together with the NW-trending faults defines the duplex system which we refer to as a whole as the Coastal Cordillera Fault System (CCFS) [III], we have traced the CCFS duplex between 25 degrees S and 29 degrees S and suspect that it continues northward. The timing of the deformation is constrained to be post 106 Ma, the age of Coastal Cordillera are abandonment, and pre-Tertiary based on the deformation and pluton emplacement in and along the Central Valley Fault Zone, Palaeomagnetic data from the fault bound blocks within the CCFS duplex indicate 35 degrees-45 degrees of post-Early Cretaceous clockwise rotation with no substantial latitudinal motion. We suggest that the observed fault kinematics of the CCFS are consistent with this crustal-scale duplex model where rotations would have occurred in response to left-lateral transpression. (C) 1998 Elsevier Science B.V. All rights reserved.</t>
  </si>
  <si>
    <t>Univ Plymouth, Dept Geol Sci, Plymouth PL4 8AA, Devon, England; Kingston Univ, Sch Geol Sci, Kingston upon Thames KT1 2EE, Surrey, England; Rio Tinto Zinc Min &amp; Explorat Ltd, Agencia, Chile; British Antarctic Survey, Dept Earth Sci, Oxford, England</t>
  </si>
  <si>
    <t>University of Plymouth; Kingston University; Rio Tinto; UK Research &amp; Innovation (UKRI); Natural Environment Research Council (NERC); NERC British Antarctic Survey</t>
  </si>
  <si>
    <t>Univ Plymouth, Dept Geol Sci, Plymouth PL4 8AA, Devon, England.</t>
  </si>
  <si>
    <t>g.taylor@plymouth.ac.uk</t>
  </si>
  <si>
    <t>ELSEVIER</t>
  </si>
  <si>
    <t>RADARWEG 29, 1043 NX AMSTERDAM, NETHERLANDS</t>
  </si>
  <si>
    <t>10.1016/S0040-1951(98)00200-5</t>
  </si>
  <si>
    <t>WOS:000078319400007</t>
  </si>
  <si>
    <t>Parker, SK; Detrich, HW</t>
  </si>
  <si>
    <t>Evolution, organization, and expression of α-tubulin genes in the Antarctic fish Notothenia coriiceps -: Adaptive expansion of a gene family by recent gene duplication, inversion, and divergence</t>
  </si>
  <si>
    <t>JOURNAL OF BIOLOGICAL CHEMISTRY</t>
  </si>
  <si>
    <t>PHENOL-CHLOROFORM EXTRACTION; SINGLE-STEP METHOD; BETA-TUBULIN; MESSENGER-RNA; UBIQUITOUS TRANSCRIPTION; DROSOPHILA-MELANOGASTER; SEQUENCE HETEROGENEITY; ALPHA-1-TUBULIN GENE; TRYPANOSOMA-BRUCEI; TEMPERATE FISH</t>
  </si>
  <si>
    <t>To assess the organization and expression of tubulin genes in ectothermic vertebrates, we have chosen the Antarctic yellowbelly rockcod, Notothenia coriiceps,as a model system. The genome of N. coriiceps contains similar to 15 distinct DNA fragments complementary to alpha-tubulin cDNA probes, which suggests that the alpha-tubulins of this cold-adapted fish are encoded by a substantial multigene family. From an N. coriiceps testicular DNA library, we isolated a 13.8-kilobase pair genomic clone that contains a tightly linked cluster of three cr-tubulin genes, designated NeGTb alpha a, NcGTb alpha b, and NcGTb alpha c. Two of these genes, NcGTb alpha a and NcGTb alpha b, are linked in head-to-head (5' to 5') orientation with similar to 500 bp separating their start codons, whereas NcGTb alpha a and NcGTb alpha c are linked tail-to-tail (3' to 3') with similar to 2.5 kilobase pairs between their stop codons. The exons, introns, and untranslated regions of the three alpha-tubulin genes are strikingly similar in sequence, and the intergenic region between the alpha a and ab genes is significantly palindromic. Thus, this cluster probably evolved by duplication, inversion, and divergence of a common ancestral alpha-tubulin gene. Expression of the NcGTb alpha c gene is cosmopolitan, with its mRNA most abundant in hematopoietic, neural, and testicular tissues, whereas NcGTb alpha a and NcGTb alpha b transcripts accumulate primarily in brain. The differential expression of the three genes is consistent with distinct suites of putative promoter and enhancer elements. We propose that cold adaptation of the microtubule system of Antarctic fishes is based in part on expansion of the alpha- and beta-tubulin gene families to ensure efficient synthesis of tubulin polypeptides.</t>
  </si>
  <si>
    <t>Northeastern Univ, Dept Biol, Boston, MA 02115 USA</t>
  </si>
  <si>
    <t>Northeastern University</t>
  </si>
  <si>
    <t>Northeastern Univ, Dept Biol, 414 Mugar Hall,360 Huntington Ave, Boston, MA 02115 USA.</t>
  </si>
  <si>
    <t>iceman@neu.edu</t>
  </si>
  <si>
    <t>AMER SOC BIOCHEMISTRY MOLECULAR BIOLOGY INC</t>
  </si>
  <si>
    <t>ROCKVILLE</t>
  </si>
  <si>
    <t>11200 ROCKVILLE PIKE, SUITE 302, ROCKVILLE, MD, UNITED STATES</t>
  </si>
  <si>
    <t>0021-9258</t>
  </si>
  <si>
    <t>1083-351X</t>
  </si>
  <si>
    <t>J BIOL CHEM</t>
  </si>
  <si>
    <t>J. Biol. Chem.</t>
  </si>
  <si>
    <t>DEC 18</t>
  </si>
  <si>
    <t>10.1074/jbc.273.51.34358</t>
  </si>
  <si>
    <t>Biochemistry &amp; Molecular Biology</t>
  </si>
  <si>
    <t>148PZ</t>
  </si>
  <si>
    <t>WOS:000077542200068</t>
  </si>
  <si>
    <t>Golden, KM; Ackley, SF; Lytle, VI</t>
  </si>
  <si>
    <t>The percolation phase transition in sea ice</t>
  </si>
  <si>
    <t>SCIENCE</t>
  </si>
  <si>
    <t>ELECTRICAL-RESISTIVITY; EXPONENT INEQUALITIES; PARTICLE-SIZE; WEDDELL-SEA; COMPOSITES; TRANSPORT; ALGAE; LAYER; FLUX</t>
  </si>
  <si>
    <t>Sea ice exhibits a marked transition in its fluid transport properties at a critical brine volume fraction p(c) of about 5 percent, or temperature T-c of about -5 degrees C for salinity of 5 parts per thousand. For temperatures warmer than T-c, brine carrying heat and nutrients can move through the ice, whereas for colder temperatures the ice is impermeable. This transition plays a key role in the geophysics, biology, and remote sensing of sea ice. Percolation theory can be used to understand this critical behavior of transport in sea ice. The similarity of sea ice microstructure to compressed powders is used to theoretically predict p(c) of about 5 percent.</t>
  </si>
  <si>
    <t>Univ Utah, Dept Math, Salt Lake City, UT 84112 USA; USA, Cold Reg Res &amp; Engn Lab, Hanover, NH 03755 USA; Univ Tasmania, Antarctic Cooperat Res Ctr, Hobart, Tas 7001, Australia; Univ Tasmania, Australian Antarctic Div, Hobart, Tas 7001, Australia</t>
  </si>
  <si>
    <t>Utah System of Higher Education; University of Utah; United States Department of Defense; United States Army; U.S. Army Corps of Engineers; U.S. Army Engineer Research &amp; Development Center (ERDC); Cold Regions Research &amp; Engineering Laboratory (CRREL); University of Tasmania; University of Tasmania; Australian Antarctic Division</t>
  </si>
  <si>
    <t>Golden, KM (corresponding author), Univ Utah, Dept Math, Salt Lake City, UT 84112 USA.</t>
  </si>
  <si>
    <t>Svetličić, Vesna/C-6932-2011; Pepi, Milva/AAF-9693-2020</t>
  </si>
  <si>
    <t>AMER ASSOC ADVANCEMENT SCIENCE</t>
  </si>
  <si>
    <t>1200 NEW YORK AVE, NW, WASHINGTON, DC 20005 USA</t>
  </si>
  <si>
    <t>0036-8075</t>
  </si>
  <si>
    <t>Science</t>
  </si>
  <si>
    <t>10.1126/science.282.5397.2238</t>
  </si>
  <si>
    <t>150CR</t>
  </si>
  <si>
    <t>WOS:000077645800040</t>
  </si>
  <si>
    <t>Géli, L; Aslanian, D; Olivet, JL; Vlastelic, I; Dosso, L; Guillou, H; Bougault, H</t>
  </si>
  <si>
    <t>Location of Louisville hotspot and origin of Hollister ridge:: geophysical constraints</t>
  </si>
  <si>
    <t>hot spots; Louisville Ridge; intraplate processes</t>
  </si>
  <si>
    <t>ELTANIN FRACTURE-ZONE; PACIFIC-OCEAN; PLATE MOTIONS; EVOLUTION; BATHYMETRY; TOPOGRAPHY; SYSTEM; CHAIN; SOUTH; FLOW</t>
  </si>
  <si>
    <t>The application of a new geometric technique [P. Wessel, L. Kroenke, A geometric technique for relocating hotspots and refining absolute plate motions, Nature 387 (1997) 365-369] recently pointed to a recent change in the Pacific plate absolute motion and suggested that the Louisville hotspot could now be located underneath the Hollister Ridge, south of the Eltanin fault system. However, the pole that was proposed for the last 3 Ma does not fit the trend of most Pacific volcanic alignments, supporting geochemical evidence [I. Vlastelic, L. Dosso, H. Guillou, L. Geli, H. Bougault, J. Etoubleau, J.-L. Joron, Geochemistry of the Hollister Ridge: relation with the Louisville hotspot and the Pacific-Antarctic Ridge, Earth Planet. Sci. Let. 160 (1998) 777-793] that does not favor a genetic relationship between the Louisville hotspot and the Hollister Ridge. We propose a pole near 57 degrees N, 100 degrees W that reconciles kinematic models with a previously proposed location [P. Lonsdale, Geography and history of the Louisville hotspot chain in the Southwest Pacific, J. Geophys. Res 93 (1988) 3078-3104] for the Louisville hotspot (near a Pleistocene volcano dredged at 50.5 degrees S, 139.2 degrees W) and claim that the Hollister Ridge most probably results from intraplate deformation processes. (C) 1998 Elsevier Science B.V. All rights reserved.</t>
  </si>
  <si>
    <t>IFREMER, Dept Geosci Marines, F-29280 Plouzane, France; IFREMER, CNRS, F-29280 Plouzane, France; CEA, CNRS, Ctr Faibles Radioact, F-91198 Gif Sur Yvette, France</t>
  </si>
  <si>
    <t>Ifremer; Centre National de la Recherche Scientifique (CNRS); Ifremer; Universite de Bretagne Occidentale; Universite Paris Saclay; Centre National de la Recherche Scientifique (CNRS); CEA</t>
  </si>
  <si>
    <t>Géli, L (corresponding author), IFREMER, Dept Geosci Marines, BP 70, F-29280 Plouzane, France.</t>
  </si>
  <si>
    <t>Aslanian, Daniel/JWA-0851-2024; Dosso, Laure/A-9520-2009</t>
  </si>
  <si>
    <t>Aslanian, Daniel/0000-0002-9394-606X; Geli, Louis/0000-0001-7049-4577; Guillou, Herve/0000-0002-4811-7668</t>
  </si>
  <si>
    <t>DEC 15</t>
  </si>
  <si>
    <t>10.1016/S0012-821X(98)00217-9</t>
  </si>
  <si>
    <t>153CQ</t>
  </si>
  <si>
    <t>WOS:000077815900005</t>
  </si>
  <si>
    <t>O'Connor, JM; Stoffers, P; Wijbrans, JR</t>
  </si>
  <si>
    <t>Migration rate of volcanism along the Foundation chain, SE Pacific</t>
  </si>
  <si>
    <t>plumes; hot spots; Pacific Ocean; 40Ar/39Ar; rotation</t>
  </si>
  <si>
    <t>RIDGE-HOTSPOT INTERACTIONS; SOUTH-PACIFIC; SATELLITE ALTIMETRY; SEAMOUNT CHAIN; PLATE MOTION; AGE-SPECTRA; HISTORY; BATHYMETRY; TECTONICS; ATLANTIC</t>
  </si>
  <si>
    <t>Volcanism has migrated along the NW-SE-trending Foundation Chain, SE Pacific, at a rate of 91 +/- 2 mm/y for the past 21 million years (My). The Foundation Chain is at least 1900 km long, and was erupted mostly in the interior of the Pacific plate. The linear migration of intraplate, often geochemically enriched, volcanism along the Foundation Chain can be explained by the theory of tectonic plate drift over a narrow, stationary plume of hot mantle material upwelling from depth. The present hotspot (or at least its eastern extent) generated by this Foundation plume is now located on, or close to, the Pacific-Antarctic spreading-axis. Local spreading/microplate boundaries have migrated systematically towards the Foundation plume for at least the past 21 My, a process that was, however, interrupted by the creation of the Selkirk microplate. The Foundation Chain has erupted, therefore, onto ocean crust ranging in age from similar to 17 Ma to greater than or equal to 0 Ma, with distances between the Foundation plume and local spreading/microplate boundaries varying from similar to 900 km to greater than or equal to 0 km. Such interplay between the Foundation plume and local seafloor, spreading and microplate boundaries - probably in combination with changing stresses in the lithosphere - apparently induced major changes in the fabric (and composition) of the Foundation Chain, e.g., the switch from individual seamounts to elongated, en echelon, ridges at greater than or equal to 5 Ma. It can also explain why ages for a few Foundation seamounts located at the edges of the Selkirk microplate do not Lie along the overall linear trend of migrating volcanism. The linear velocity of the Pacific plate over the Foundation plume, calculated on the basis of the migration rate of volcanism along the Foundation Chain, is predicted by a number of rotation poles for the motion of the Pacific plate in a fixed hotspot reference frame. The fact that the measured migration rates of volcanism along the Foundation and Hawaiian chains are predicted by these rotation poles (1) confirms that the distribution of Foundation Chain ages records the absolute motion of the Pacific plate, and (2) supports the fundamental assumption of stationary mantle plumes in the case of Hawaii versus Foundation for at least the past 21 My. The Foundation Chain was created by a weak plume, primarily as relatively small, probably rapidly erupted (il My) individual seamounts or seamount clusters at a rate of approximately one every My. Linear migration rates of volcanism are most likely defined unequivocally along such types of hotspot chain, on the basis of age-distance data. It should also be easier to identify and characterize volcanism created as a result of plume interactions with local spreading/microplate boundaries. Rotation poles for Pacific plate drift show that the initial stages of volcanism along the southern Austral Chain (greater than or equal to 34 Ma) could have been created by the Foundation plume, suggesting that the path of Pacific plate drift over the stationary Foundation plume could be at least 3000 km long. (C) 1998 Elsevier Science B.V. All rights reserved.</t>
  </si>
  <si>
    <t>Univ Kiel, GEOMAR, Res Ctr Marine Geosci, D-24118 Kiel, Germany; Free Univ Amsterdam, Dept Petr &amp; Isotope Geol, NL-1081 HV Amsterdam, Netherlands</t>
  </si>
  <si>
    <t>University of Kiel; Helmholtz Association; GEOMAR Helmholtz Center for Ocean Research Kiel; Vrije Universiteit Amsterdam</t>
  </si>
  <si>
    <t>O'Connor, JM (corresponding author), Univ Kiel, GEOMAR, Res Ctr Marine Geosci, Wischhofstr 1-3, D-24118 Kiel, Germany.</t>
  </si>
  <si>
    <t>joconnor@geomar.de</t>
  </si>
  <si>
    <t>Wijbrans, J.R./M-6067-2019; Wijbrans, Jan/Q-1914-2016</t>
  </si>
  <si>
    <t>Wijbrans, Jan/0000-0002-8091-1239</t>
  </si>
  <si>
    <t>1385-013X</t>
  </si>
  <si>
    <t>10.1016/S0012-821X(98)00165-4</t>
  </si>
  <si>
    <t>WOS:000077815900006</t>
  </si>
  <si>
    <t>Bourgeois, O; Dauteuil, O; Van Vliet-Lanoë, B</t>
  </si>
  <si>
    <t>Pleistocene subglacial volcanism in Iceland:: tectonic implications</t>
  </si>
  <si>
    <t>ice movement; subglacial environment; volcanism; rift zones; Iceland</t>
  </si>
  <si>
    <t>CONTINENTAL LITHOSPHERIC EXTENSION; ANTARCTIC ICE-SHEET; NORTHEAST ICELAND; BENEATH; EVOLUTION; VISCOSITY; HISTORY; MODES; FLOW; ZONE</t>
  </si>
  <si>
    <t>At several stages during the last 700 kyr, tectonic and volcanic activity due to Lithospheric spreading occurred beneath a 1000-1500 m thick ice cap in Iceland. Magmatic activity has been recorded by the emplacement of subglacial Volcanic edifices. Table volcanoes are the subglacial equivalent of aerial shield volcanoes. Hyaloclastite ridges are the subglacial equivalent of aerial eruptive fissures. Some hyaloclastite ridges are located in currently inactive areas, whereas they are nearly absent in some parts of the currently active Neovolcanic Zone. A part of this discrepancy can be attributed to glacial erosion. A manual reconstruction of the flowing pattern of the ice cap, based on glacial landforms, shows that some parts of the Neovolcanic Zone were occupied by fast flowing ice streams. In these areas, most hyaloclastite ridges have been removed as eruptions proceeded: fast ice flow and water/debris flows triggered by volcanic eruptions have transported subglacial volcanic products to the sea. Subglacial volcanic products have been preserved beneath ice divides, where ice motion was slower, and in some table volcanoes, where magma supply was sufficient to counteract removal by ice how Once the effect of glacial removal has been subtracted, the arrangement of the subglacial volcanic edifices appears clearly. Similarly to the post-glacial eruptive fissures, the hyaloclastite ridges are gathered in swarms associated with central volcanoes located in the Neovolcanic Zone. However, the area covered by hyaloclastite ridges is wider than the extent of the currently active fissure swarms. This discrepancy suggests either continuous wandering of the volcanic activity from one fissure swarm to another for the last 700 kyr, or narrowing of the active rift zone at the end of the last glaciation. (C) 1998 Elsevier Science B.V. All rights reserved.</t>
  </si>
  <si>
    <t>CNRS UPR 4661, Geosci Rennes, F-35042 Rennes, France</t>
  </si>
  <si>
    <t>Centre National de la Recherche Scientifique (CNRS); Universite de Rennes</t>
  </si>
  <si>
    <t>Bourgeois, O (corresponding author), CNRS UPR 4661, Geosci Rennes, Campus Beaulieu,Bat 15, F-35042 Rennes, France.</t>
  </si>
  <si>
    <t>olivier.bourgeois@univ-rennes1.fr</t>
  </si>
  <si>
    <t>Vliet-Lanoe, Van/A-1622-2009</t>
  </si>
  <si>
    <t>Vliet-Lanoe, Van/0000-0003-1183-0846</t>
  </si>
  <si>
    <t>10.1016/S0012-821X(98)00201-5</t>
  </si>
  <si>
    <t>WOS:000077815900013</t>
  </si>
  <si>
    <t>Cheam, V; Lawson, G; Lechner, J; Desrosiers, R</t>
  </si>
  <si>
    <t>Recent metal pollution in Agassiz Ice Cap</t>
  </si>
  <si>
    <t>ENVIRONMENTAL SCIENCE &amp; TECHNOLOGY</t>
  </si>
  <si>
    <t>ARCTIC AIR-POLLUTION; GREAT-LAKES WATERS; ATOMIC FLUORESCENCE SPECTROMETRY; PLASMA-MASS SPECTROMETRY; ANTARCTIC SNOW; GREENLAND ICE; HEAVY-METALS; ANTHROPOGENIC LEAD; ATMOSPHERIC-POLLUTION; ISOTOPIC EVIDENCE</t>
  </si>
  <si>
    <t>Metal data for Ph, Zn, Al, Cd, and TI show seasonal variations of high levels during the winter-early spring period and low levels during the summer-fall period. In terms of Pb magnitudes and seasonal variations, our data of the late 1980s and early 1999s (unleaded gasoline era) appear compatible with those of Murozumi et at. (Murozumi, M.; Chow, T. J.; Patterson, C. C. Geochim. Cosmochim. Acta 1969, 33, 1247-1294.) of the 1950s and 1965 (leaded gasoline era). This is probably due to the close proximity and similar elevation of the two areas (Agassiz Ice Cap, Canadian Arctic and Camp Century, northwest Greenland), which are likely subjected to the same polluted air masses. Despite the implementation of unleaded gasoline since the early 1970s, our data show that the Agassiz Ice Cap still received a significant amount of lead during the late 1980s and early 1990s; this is in contrast to Summit, Greenland, which saw a very drastic decrease of the element during similar periods. This is because of the different locations and altitudes, as well as different sources, mainly Eurasian for Agassiz versus mainly U.S. for Summit. Lead was determined by laser-induced fluorescence spectrometry via the direct injection of microliter sample sizes. Its fallout flux was estimated to be 1.2 ng cm(-2) year(-1) The lead concentration in the surface snow appears to follow the order of Agassiz and northwest Greenland &gt; central Greenland &gt; Antarctica.</t>
  </si>
  <si>
    <t>Natl Water Res Inst, Aquat Ecosyst Restorat Branch, Burlington, ON L7R 4A6, Canada; Natl Water Res Inst, Res Support Branch, Burlington, ON L7R 4A6, Canada</t>
  </si>
  <si>
    <t>Environment &amp; Climate Change Canada; National Water Research Institute; Environment &amp; Climate Change Canada; National Water Research Institute</t>
  </si>
  <si>
    <t>Cheam, V (corresponding author), Natl Water Res Inst, Aquat Ecosyst Restorat Branch, Box 5050, Burlington, ON L7R 4A6, Canada.</t>
  </si>
  <si>
    <t>ven.cheam@cciw.ca</t>
  </si>
  <si>
    <t>AMER CHEMICAL SOC</t>
  </si>
  <si>
    <t>1155 16TH ST, NW, WASHINGTON, DC 20036 USA</t>
  </si>
  <si>
    <t>0013-936X</t>
  </si>
  <si>
    <t>ENVIRON SCI TECHNOL</t>
  </si>
  <si>
    <t>Environ. Sci. Technol.</t>
  </si>
  <si>
    <t>10.1021/es971012w</t>
  </si>
  <si>
    <t>Engineering, Environmental; Environmental Sciences</t>
  </si>
  <si>
    <t>Engineering; Environmental Sciences &amp; Ecology</t>
  </si>
  <si>
    <t>148YD</t>
  </si>
  <si>
    <t>WOS:000077561200020</t>
  </si>
  <si>
    <t>Dunbar, RB; Leventer, AR; Mucciarone, DA</t>
  </si>
  <si>
    <t>Water column sediment fluxes in the Ross Sea, Antarctica: Atmospheric and sea ice forcing</t>
  </si>
  <si>
    <t>JOURNAL OF GEOPHYSICAL RESEARCH-OCEANS</t>
  </si>
  <si>
    <t>PHYTOPLANKTON BLOOM DYNAMICS; WESTERN BRANSFIELD STRAIT; SOUTHERN-OCEAN; CONTINENTAL-SHELF; BIOGENIC-SILICA; MCMURDO SOUND; PARTICLE-FLUX; PIGMENT CONCENTRATIONS; PRIMARY PRODUCTIVITY; SPATIAL PATTERNS</t>
  </si>
  <si>
    <t>We measured time series of the vertical particle flux at three locations in the Ross Sea, Antarctica, between January 1990 and February 1992 as part of an interdisciplinary project focusing on the accumulation and recycling of organic C and biogenic Si pn a polar shelf. We estimate area-wide annual average fluxes through the deep water column of 5 g organic C m(-2) yr(-1) and 30 g biogenic Si m(-2) yr(-1), values similar to the highest annual average fluxes to the subsurface reported for other areas of the Antarctic continental shelf. Total particle and biogenic Si fluxes are highest during January and February in the southwestern Ross Sea, beneath a seasonally recurrent bloom of the;diatom Fragilariopsis curta. Organic C fluxes are highest in the central Ross Sea, consistent with a surface water algal assemblage dominated by the prymnesiophyte Phaeocystis. While organic C flux decreases with depth at all three sites, the result of remineralization within the water column, biogenic opal fluxes are higher in near-bottom traps than at 230 m at the two western Ross Sea sites. Some biogenic opal must be supplied to these deep traps via horizontal advection and possibly resuspension. Fecal pellets and large aggregates contributed between 4 and 70% of the vertical flux and settled at rates of 60 to &gt;400 m d(-1). Maximum particle fluxes occur 2 to 10 weeks after surface waters become ice free. We discuss three hypotheses to explain lags between production and settling: (1) advection from surface waters with different ice cover characteristics, (2) lags in the development of a grazing zooplankton community, and (3) early season wind-induced inhibition of primary production. Interannual variability in surface wind stress is empirically linked to variability in biogenic fluxes. Windiness and relative phasing of the annual cycles of ice cover and air temperature may be responsible for the development of different algal communities in the central versus western Ross Sea.</t>
  </si>
  <si>
    <t>Stanford Univ, Stanford, CA 94305 USA; Colgate Univ, Dept Geol, Hamilton, NY 13346 USA</t>
  </si>
  <si>
    <t>Stanford University; Colgate University</t>
  </si>
  <si>
    <t>Stanford Univ, Stanford, CA 94305 USA.</t>
  </si>
  <si>
    <t>dunbar@stanford.edu; aleventer@mail.colgate.edu; dam@pangea.stanford.edu</t>
  </si>
  <si>
    <t>Dunbar, Robert/0000-0002-9728-5609; Leventer, Amy/0000-0001-9401-0987</t>
  </si>
  <si>
    <t>2169-9275</t>
  </si>
  <si>
    <t>2169-9291</t>
  </si>
  <si>
    <t>J GEOPHYS RES-OCEANS</t>
  </si>
  <si>
    <t>J. Geophys. Res.-Oceans</t>
  </si>
  <si>
    <t>C13</t>
  </si>
  <si>
    <t>10.1029/1998JC900001</t>
  </si>
  <si>
    <t>155YR</t>
  </si>
  <si>
    <t>WOS:000077974900009</t>
  </si>
  <si>
    <t>Guest, PS</t>
  </si>
  <si>
    <t>Surface longwave radiation conditions in the eastern Weddell Sea during winter</t>
  </si>
  <si>
    <t>ICE DRIFT; THERMAL-RADIATION; MODEL; POLYNYA; ALBEDO; FLUX; ROUGHNESS</t>
  </si>
  <si>
    <t>This is a study of the surface longwave radiation characteristics over the Weddell Sea during winter, based on measurements performed from a ship and ice flee camps during the Antarctic Zone Flux Experiment (ANZFLUX), which occurred in July and August 1994. Net longwave radiation is the dominant term in the regional surface energy balance. The net longwave radiational cooling of the surface is 62 W m(-2) greater during clear skies than during overcast skies. The downwelling longwave radiation during clear skies is 17% less, and during overcast skies, it is 3% less than for reported Arctic cases with the same surface temperature. Previously published formulas of downwelling longwave radiation based on surface variables have a total rms error of 10-43 W m(-2) for the clear-sky cases and 10-20 W m(-2) for overcast cases when applied to the ANZFLUX data. There is no correlation of downward longwave radiation with any standard surface meteorological parameters, except air temperature and observed cloud cover, with the possible exception of wind speed, which has a slight negative correlation during clear skies. Predictions from newly derived formulas using only air temperature have an rms error of 5.8 W m(-2) for overcast skies and 7.2 W m(-2) for clear skies. When information on cloud bottom temperature and cloud thickness is available, downwelling radiation is predicted to within 3.9 W m(-2). These rms errors are based on parameterizations that are tuned to the ANZFLUX data set and are better than the accuracies to be expected when applying the parameterizations to other situations, including other Weddell Sea wintertime cases.</t>
  </si>
  <si>
    <t>USN, Postgrad Sch, Dept Meteorol, Monterey, CA 93943 USA</t>
  </si>
  <si>
    <t>United States Department of Defense; United States Navy; Naval Postgraduate School</t>
  </si>
  <si>
    <t>Guest, PS (corresponding author), USN, Postgrad Sch, Dept Meteorol, 589 Dyer Rd,Room 254, Monterey, CA 93943 USA.</t>
  </si>
  <si>
    <t>pguest@nps.navy.mil</t>
  </si>
  <si>
    <t>10.1029/98JC02146</t>
  </si>
  <si>
    <t>WOS:000077974900010</t>
  </si>
  <si>
    <t>Maltrud, ME; Smith, RD; Semtner, AJ; Malone, RC</t>
  </si>
  <si>
    <t>Global eddy-resolving ocean simulations driven by 1985-1995 atmospheric winds</t>
  </si>
  <si>
    <t>WESTERN BOUNDARY CURRENT; ANTARCTIC CIRCUMPOLAR CURRENT; GENERAL-CIRCULATION MODEL; BRUNT-VAISALA FREQUENCY; SEA-SURFACE TOPOGRAPHY; NORTH-ATLANTIC OCEAN; HEAT-TRANSPORT; ROSSBY RADII; VARIABILITY; RESOLUTION</t>
  </si>
  <si>
    <t>Results are presented from a high-resolution global ocean model that is driven through three decadal cycles of increasingly realistic prescribed atmospheric forcing from the period 1985-1995. The model used (the Parallel Ocean Program) is a z level primitive equation model with active thermohaline dynamics based on the formulation of Bryan [1969] rewritten for massively parallel computers. Improvements to the model include an implicit free-surface formulation of the barotropic mode [Dukowicz and Smith, 1994] and the use of pressure averaging for increasing the numerical time step. This study extends earlier 0.5 degrees simulations of Semtner and Chervin [1992] to higher horizontal resolution with improved treatments of ocean geometry and surface forcing. The computational grid is a Mercator projection covering the global ocean from 77 degrees N to 77 degrees S and has 20 vertical levels. Three successive simulations have been performed on the CM-5 Connection Machine system at Los Alamos using forcing fields from the European Centre for Medium-Range Weather Forecasts (ECMWF). The first run uses monthly wind stresses for 1985-1995 and restoring of surface temperature and salinity to the Levitus [1982] seasonal climatology. The second run is the same but with 3 day-averaged rather than monthly averaged wind stress fields, and the third is the same as the second but uses the monthly climatological ECMWF heat fluxes of Barnier et al. [1995] instead of restoring to climatological sea surface temperatures. Many features of the wind-driven circulation are well represented in the model solutions, such as the overall current patterns, the numerous regions of hydrodynamic instability which correspond to these observed by satellite altimetry, and the filamented structure of the Antarctic Circumpolar Current. However, some features such as the separation points of the Gulf Stream and Kuroshio and the transport through narrow passages such as the Florida Straits are clearly inaccurate and indicate that still higher resolution may be required to correct these deficiencies. Water mass properties and some aspects of the thermohaline circulation are also not always well reproduced, which is partly due to the relatively short length of the integrations. The use of the ECMWF heat fluxes, rather than restoring to climatological surface temperatures, leads to stronger and more realistic surface and deep western boundary currents (primarily in the Atlantic) as well as more realistic meridional heat transport; this is primarily because the equilibrium meridional heat transport implied by the ECMWF surface fluxes is quite large. The ECMWF heat fluxes also produce improved seasonal cycles of sea surface temperature and height in both the northern and southern hemispheres. The 3-day wind forcing gives rise to modes of model variability that are clearly seen in synoptic observations, such as the large-scale 20-100-day oscillations seen in the TOPEX/POSEIDON data, which are barotropic oscillations induced by the high-frequency wind forcing. Additional studies on other aspects of the simulations described here are being conducted by a variety of investigators, and some of these are briefly described.</t>
  </si>
  <si>
    <t>Los Alamos Natl Lab, Los Alamos, NM 87545 USA; USN, Postgrad Sch, Dept Oceanog, Monterey, CA 93943 USA</t>
  </si>
  <si>
    <t>United States Department of Energy (DOE); Los Alamos National Laboratory; United States Department of Defense; United States Navy; Naval Postgraduate School</t>
  </si>
  <si>
    <t>Los Alamos Natl Lab, MS B216, Los Alamos, NM 87545 USA.</t>
  </si>
  <si>
    <t>maltrud@lanl.gov</t>
  </si>
  <si>
    <t>10.1029/1998JC900013</t>
  </si>
  <si>
    <t>WOS:000077974900014</t>
  </si>
  <si>
    <t>Dianeutral mixing and transformation of Antarctic Intermediate Water in the Indian Ocean</t>
  </si>
  <si>
    <t>TOTAL GEOSTROPHIC CIRCULATION; THERMOCLINE CIRCULATION; NEUTRAL SURFACES; NORTH-ATLANTIC; SOUTH-ATLANTIC; WORLDS OCEANS; FLOW PATTERNS; MASS ANALYSIS; POLAR FRONT; TRANSPORTS</t>
  </si>
  <si>
    <t>Transformation of Antarctic Intermediate Water (AAIW) is achieved through one or more processes of epineutral advection, epineutral diffusion, dianeutral advection, and dianeutral diffusion. This paper points to the importance of dianeutral mixing in achieving the AAIW water mass transformation in the Indian Ocean. Six neutral surfaces were mapped to span the intermediate water of the Indian Ocean between 580 and 1500 m at the reference cast. South of the Antarctic frontal zone, AAIW shows a diffusive tongue in the meridional Turner angle (after J. Stewart Turner) sections. On its equatorward transition, the transformed AAIW is characterized by a tongue of doubly stable conditions extending a great distance to as fat as about 5 degrees S. A maximum downwelling dianeutral velocity of -2x10(-7) m s(-1) due to cabbeling is found in the Antarctic frontal zone, which is 3 orders larger than that in the subtropical gyre. Thermobaricity acts similarly to cabbeling in the Antarctic frontal zone and contributes a maximum downwelling dianeutral velocity of -1x10(-7) m s(-1) but mainly arises in upwelling north of the frontal zone. A strong downwelling dianeutral velocity of -2x10-7 m s(-1) contributed by vertical turbulent mixing occurs on the upper two neutral surfaces south of the frontal zone. With assumed constant epineutral diffusivity K of 10(3) m(2) s(-1) and dianeutral diffusivity D of 10(-5) m(2) s(-1), an area-mean net dianeutral upwelling velocity of 0.11x10(-7) m s(-1) is found north of 32 degrees S across the lowermost neutral surface sigma(theta)=27.66. It means a net upward volume transport of 0.6 Sv (1 Sv=10(6) m(3) s(-1)). This weak but net upwelling transport roughly corresponds to a net 0.5 Sv transported downward, with a downwelling dianeutral velocity of -0.25x10(-7) m s(-1) across the same neutral surface south of 45 degrees S. Toward the core of AAIW, the net dianeutral velocity increases to 0.15x10(-7) m s(-1) across the 27.37 neutral surface. The corresponding net dianeutral transport increases to 0.8 Sv. You [1996] has estimated a net dianeutral upwelling transport of 1.4 Sv across the lower thermocline north of 32 degrees S, which suggests about the same amount of volume transport upward across the upper intermediate layer. However, south of 45 degrees S a much stronger area-mean net downwelling dianeutral velocity of -2.63x10(-7) m s(-1) is found across the uppermost neutral surface sigma(theta)=27.1, indicative of a net 5.4 Sv transported downward. That the downwelling transport across the uppermost surface is 10 times larger than that across the lowermost surface south of 45 degrees S has a strong implication for the equatorward advection of AAIW between the uppermost and lowermost neutral surfaces. When both the epineutral and dianeutral diffusivities are increased by 1 order of magnitude to K=10(4) m(2) s(-1) and D=10(-4) m(2) s(-1), the above estimated integrated total dianeutral velocity and transport would increase by almost 10 times. However, when the diffusivities are decreased by 1 order of magnitude to K=10(2) m(2) s(-1) and D=10(-6) m(2) s(-1), the integrated total dianeutral velocity and transport would decrease by only less than one time.</t>
  </si>
  <si>
    <t>Univ Kiel, Inst Meereskunde, D-24105 Kiel, Germany; Museum Natl Hist Nat, Lab Oceanog Phys, F-75231 Paris, France</t>
  </si>
  <si>
    <t>University of Kiel; Museum National d'Histoire Naturelle (MNHN)</t>
  </si>
  <si>
    <t>10.1029/1998JC900008</t>
  </si>
  <si>
    <t>WOS:000077974900020</t>
  </si>
  <si>
    <t>Stutzer, S; Krauss, W</t>
  </si>
  <si>
    <t>Mean circulation and transports in the South Atlantic Ocean: Combining model and drifter data</t>
  </si>
  <si>
    <t>ANTARCTIC CIRCUMPOLAR CURRENT; NUMERICAL-MODEL; BENGUELA CURRENT; NORTH-ATLANTIC; WORLD OCEAN; RESOLUTION; WATER; EXCHANGE; BUOYS; HEAT</t>
  </si>
  <si>
    <t>Numerical experiments with a medium-resolution primitive equation model of the South Atlantic mean circulation are described. The results from the standard model realization indicate that the model succeeds in representing the large-scale transport and circulation features. However, a comparison with a velocity field derived from surface drifter data reveals discrepancies of the modeled velocities from the observations in magnitude as well as direction of the flow field. In order to diminish the model deviations from the data, an attempt is made to couple the model to the observations through a simple data assimilation technique. The assimilated model succeeds in improving the subtropical gyre circulation. Only a minor effect on the basin-scale integrated quantities is observed. However, the density field may be deformed as a response to the assimilation of velocity data without simultaneously adapting a corresponding density structure. The influence of the disturbance of the. density structure is most prominent at the edges of the observed data set, which does not cover the entire model domain, and is confined to the upper ocean and balanced above the thermocline. We calculated a meridional heat transport that is generally in accordance with estimates from other sources. The analysis of heat and salt fluxes suggests that the model features both the so-called warm water path and cold water path in closing the global thermohaline circulation. While heat is mainly imported in surface and thermocline waters with the Agulhas Current around South Africa, it is the Antarctic Intermediate Water that compensates for more than 50% of the salt loss by the outflowing North Atlantic Deep Water.</t>
  </si>
  <si>
    <t>Inst Meereskunde Kiel, D-24105 Kiel, Germany</t>
  </si>
  <si>
    <t>Stutzer, S (corresponding author), Inst Meereskunde Kiel, Dusternbrooker Weg 20, D-24105 Kiel, Germany.</t>
  </si>
  <si>
    <t>sstutzer@ifm.uni-kiel.de</t>
  </si>
  <si>
    <t>10.1029/98JC02065</t>
  </si>
  <si>
    <t>WOS:000077974900022</t>
  </si>
  <si>
    <t>Lindegren, R; Josefson, M</t>
  </si>
  <si>
    <t>Bottom water formation in the Weddell Sea resolved by principal component analysis and target estimation</t>
  </si>
  <si>
    <t>CHEMOMETRICS AND INTELLIGENT LABORATORY SYSTEMS</t>
  </si>
  <si>
    <t>5th Scandinavian Symposium on Chemometrics (SSC5)</t>
  </si>
  <si>
    <t>AUG 17-21, 1997</t>
  </si>
  <si>
    <t>LATHI, FINLAND</t>
  </si>
  <si>
    <t>bottom water; Weddell Sea; target estimation</t>
  </si>
  <si>
    <t>RESOLUTION</t>
  </si>
  <si>
    <t>The general mixing situation in the southern Weddell Sea is studied by principal components analysis (PCA). A method for computing the fractions of the assumed source waters in a given sample is presented. The method is applied to the formation of Antarctic Bottom Water in the southern part of the Weddell Sea. The algorithm is a combination of PCA and regression. The method can be used to compile the variation in a number of measured variables without limitations of the variable count. Previous oceanographic knowledge is combined with the score mixing patterns in order to estimate the number of source waters and their compositions. In the application described, the principle of this method is demonstrated with the variables temperature, salinity and oxygen. Three source waters were indicated by PCA and the fractions of the two source waters, ice shelf water and warm deep water were calculated. (C) 1998 Elsevier Science B.V. All rights reserved.</t>
  </si>
  <si>
    <t>Gothenburg Univ, Dept Analyt &amp; Marine Chem, S-41296 Gothenburg, Sweden; Chalmers, S-41296 Gothenburg, Sweden; Astra Hassle AB, Pharmaceut R&amp;D, Analyt Chem, S-43183 Molndal, Sweden</t>
  </si>
  <si>
    <t>University of Gothenburg; Chalmers University of Technology</t>
  </si>
  <si>
    <t>Gothenburg Univ, Dept Analyt &amp; Marine Chem, S-41296 Gothenburg, Sweden.</t>
  </si>
  <si>
    <t>mats.josefson@hassle.se.astra.com</t>
  </si>
  <si>
    <t>0169-7439</t>
  </si>
  <si>
    <t>1873-3239</t>
  </si>
  <si>
    <t>CHEMOMETR INTELL LAB</t>
  </si>
  <si>
    <t>Chemometrics Intell. Lab. Syst.</t>
  </si>
  <si>
    <t>DEC 14</t>
  </si>
  <si>
    <t>10.1016/S0169-7439(98)00072-0</t>
  </si>
  <si>
    <t>Automation &amp; Control Systems; Chemistry, Analytical; Computer Science, Artificial Intelligence; Instruments &amp; Instrumentation; Mathematics, Interdisciplinary Applications; Statistics &amp; Probability</t>
  </si>
  <si>
    <t>Automation &amp; Control Systems; Chemistry; Computer Science; Instruments &amp; Instrumentation; Mathematics</t>
  </si>
  <si>
    <t>155LW</t>
  </si>
  <si>
    <t>WOS:000077949300033</t>
  </si>
  <si>
    <t>Livingston, FE; George, SM</t>
  </si>
  <si>
    <t>Effect of HNO3 and HCl on D2O desorption kinetics from crystalline D2O ice</t>
  </si>
  <si>
    <t>JOURNAL OF PHYSICAL CHEMISTRY A</t>
  </si>
  <si>
    <t>INDUCED THERMAL-DESORPTION; POLAR STRATOSPHERIC CLOUDS; NITRIC-ACID MONOHYDRATE; CIRRUS CLOUDS; WATER-ICE; SURFACE-DIFFUSION; HYDROGEN-CHLORIDE; ANTARCTIC OZONE; ASTROPHYSICAL IMPLICATIONS; HETEROGENEOUS REACTIONS</t>
  </si>
  <si>
    <t>The presence of trace species may perturb H2O desorption kinetics from ice surfaces and alter the stability of atmospheric ice particles. To investigate the effects of atmospheric species on H2O desorption kinetics from crystalline ice, the D2O desorption kinetics from pure and HNO3- and HCl-dosed crystalline D2O ice multilayers on Ru(001) were investigated using isothermal laser-induced thermal desorption (LITD) measurements. The D2O desorption kinetics were studied for D2O ice film thicknesses of 25-200 BL (90-730 Angstrom) and initial acid coverages of 0.5-3.0 BL for HNO3 and 0.3-5.0 BL for HCl. Arrhenius analysis of the D2O desorption rates from pure D2O crystalline ice at T = 150-171 K yielded a desorption activation energy of E-d = 13.7 +/- 0.5 kcal/mol and a zero-order desorption preexponential of v(o) = (3.3 +/- 0.7) x 10(32) molecules/(cm(2) s). The absolute D2O desorption rates were similar to 3-5 times smaller for D2O ice films exposed to HNO3. The D2O desorption kinetics from HNO3-dosed ice were E-d = 11.3 +/- 0.4 kcal/mol and v(o) = (5.0 +/- 0.9) x 10(28) molecules/(cm(2) s). In contrast, the absolute D2O desorption rates were similar to 2 times larger for D2O ice films exposed to HCl. The D2O desorption kinetics from HCl-dosed ice were E-d = 14.2 +/- 0.6 kcal/mol and v(o) = (3.7 +/- 0.8) x 10(33) molecules/(cm(2) s), The changes in the D2O isothermal desorption kinetics were independent of DNO3 and DCl coverages. The adsorbate-induced perturbations are believed to be associated with the formation of stable hydrate cages and reduced D2O mobility in HNO3-dosed ice and the creation of defects and enhanced D2O mobility in HCl-dosed ice. The effects of HNO3 and HCl on the D2O desorption kinetics indicate that the growth, stability, and lifetimes of atmospheric ice particles should be altered by the presence of adsorbates on the ice surface.</t>
  </si>
  <si>
    <t>Univ Colorado, Dept Chem &amp; Biochem, Boulder, CO 80309 USA</t>
  </si>
  <si>
    <t>University of Colorado System; University of Colorado Boulder</t>
  </si>
  <si>
    <t>georges@spot.colorado.edu</t>
  </si>
  <si>
    <t>George, Steven/O-2163-2013</t>
  </si>
  <si>
    <t>George, Steven/0000-0003-0253-9184</t>
  </si>
  <si>
    <t>1089-5639</t>
  </si>
  <si>
    <t>1520-5215</t>
  </si>
  <si>
    <t>J PHYS CHEM A</t>
  </si>
  <si>
    <t>J. Phys. Chem. A</t>
  </si>
  <si>
    <t>DEC 10</t>
  </si>
  <si>
    <t>10.1021/jp982627y</t>
  </si>
  <si>
    <t>148QP</t>
  </si>
  <si>
    <t>WOS:000077543700013</t>
  </si>
  <si>
    <t>Tamburrini, M; Romano, M; Carratore, V; Kunzmann, A; Coletta, M; di Prisco, G</t>
  </si>
  <si>
    <t>The hemoglobins of the antarctic fishes Artedidraco orianae and Pogonophryne scotti -: Amino acid sequence, lack of cooperativity, and ligand binding properties</t>
  </si>
  <si>
    <t>NOTOTHENIA-CORIICEPS-NEGLECTA; ASCARIS HEMOGLOBIN; OXYGEN AVIDITY; PURIFICATION; ADAPTATION</t>
  </si>
  <si>
    <t>The oxygen-transport system of two species of Antarctic fishes belonging to the family Artedidraconidae, Artedidraco orianae and Pogonophryne scotti, was thoroughly investigated. The complete amino acid sequence of the alpha and beta chains of the single hemoglobins of the two species was established. The oxygen-binding properties were also investigated, and were found not to differ significantly from those shown by blood, intact erythrocytes, and unstripped hemolysates. Both hemoglobins have unusually high oxygen affinity and display a relatively small Bohr effect; the Root effect is elicited only by organophosphates and is also reduced. Remarkably, the Hill coefficient is close to one in the whole pH range, indicating absence of cooperative oxygen binding which, in A. orianae hemoglobin, could be ascribed to the subunit heterogeneity shown upon oxygen dissociation. In comparison with the other families of the suborder Notothenioidei, the oxygen-transport system of these two species of Artedidraconidae has unique characteristics, which raise interesting questions on the mode of function of a multisubunit molecule and the relationship with cold adaptation.</t>
  </si>
  <si>
    <t>CNR, Inst Prot Biochem &amp; Enzymol, I-80125 Naples, Italy; Inst Polar Ecol, D-24148 Kiel, Germany; Univ Roma Tor Vergata, Dept Expt Med &amp; Biochem Sci, I-00133 Rome, Italy</t>
  </si>
  <si>
    <t>Consiglio Nazionale delle Ricerche (CNR); Istituto di Biochimica delle Proteine (IBP-CNR); University of Rome Tor Vergata</t>
  </si>
  <si>
    <t>di Prisco, G (corresponding author), CNR, Inst Prot Biochem &amp; Enzymol, Via Marconi 10, I-80125 Naples, Italy.</t>
  </si>
  <si>
    <t>diprisco@dafne.ibpe.na.cnr.it</t>
  </si>
  <si>
    <t>Coletta, Massimiliano/GSN-5927-2022; Kunzmann, Andreas/O-5459-2019; Kunzmann, Andreas/O-1345-2013; Coletta, Massimo/N-9049-2015</t>
  </si>
  <si>
    <t>Kunzmann, Andreas/0000-0002-9500-4332; Kunzmann, Andreas/0000-0002-9500-4332; TAMBURRINI, MAURIZIO/0000-0001-5987-0957; COLETTA, Massimiliano/0000-0002-5489-9467</t>
  </si>
  <si>
    <t>9650 ROCKVILLE PIKE, BETHESDA, MD 20814 USA</t>
  </si>
  <si>
    <t>DEC 4</t>
  </si>
  <si>
    <t>10.1074/jbc.273.49.32452</t>
  </si>
  <si>
    <t>144RP</t>
  </si>
  <si>
    <t>Green Published, hybrid</t>
  </si>
  <si>
    <t>WOS:000077329100015</t>
  </si>
  <si>
    <t>Ballatore, P; Maclennan, CG; Engebretson, MJ; Candidi, M; Bitterly, J; Meng, CI; Burns, G</t>
  </si>
  <si>
    <t>A new southern high-latitude index</t>
  </si>
  <si>
    <t>ANNALES GEOPHYSICAE-ATMOSPHERES HYDROSPHERES AND SPACE SCIENCES</t>
  </si>
  <si>
    <t>magnetospheric physics (auroral phenomena; polar cap phenomena)</t>
  </si>
  <si>
    <t>ELECTROJET INDEXES; POLAR-CAP</t>
  </si>
  <si>
    <t>We have developed and examined a new regional geomagnetic index AES-XO, defined similarly to the classical auroral electrojet AE index, using data from five Antarctic stations located at corrected geomagnetic latitudes about 80 degrees S. Because only sparse ground-based information can be derived from auroral latitudes in the Southern Hemisphere, and because no index comparable to AE can be constructed from locations in the south, the possibility of using AES-80 as a measure of high latitudes and polar cap activity is investigated. As a global average activity level indicator, it is found that in general AES-80 gives results rather similar to the classical AE index. However AES-80 provides a more robust measure of the occurrence of high-latitude geomagnetic activity.</t>
  </si>
  <si>
    <t>CNR, Ist Fis Spazio Interplanetario, I-00044 Frascati, Rome, Italy; AT&amp;T Bell Labs, Lucent Technol, Murray Hill, NJ 07974 USA; Augsburg Coll, Dept Phys, Minneapolis, MN 55454 USA; Ecole &amp; Observ Phys Globe, Strasbourg, France; Johns Hopkins Univ, Appl Phys Lab, Laurel, MD 20723 USA; Australian Antarctic Div, Hobart, Tas, Australia</t>
  </si>
  <si>
    <t>Istituto Nazionale Astrofisica (INAF); Consiglio Nazionale delle Ricerche (CNR); AT&amp;T; Alcatel-Lucent; Lucent Technologies; Nokia Corporation; Nokia Bell Labs; Augsburg University; Johns Hopkins University; Johns Hopkins University Applied Physics Laboratory; Australian Antarctic Division</t>
  </si>
  <si>
    <t>Ballatore, P (corresponding author), CNR, Ist Fis Spazio Interplanetario, I-00044 Frascati, Rome, Italy.</t>
  </si>
  <si>
    <t>0992-7689</t>
  </si>
  <si>
    <t>ANN GEOPHYS-ATM HYDR</t>
  </si>
  <si>
    <t>Ann. Geophys.-Atmos. Hydrospheres Space Sci.</t>
  </si>
  <si>
    <t>DEC</t>
  </si>
  <si>
    <t>10.1007/s005850050727</t>
  </si>
  <si>
    <t>Astronomy &amp; Astrophysics; Geosciences, Multidisciplinary; Meteorology &amp; Atmospheric Sciences</t>
  </si>
  <si>
    <t>Astronomy &amp; Astrophysics; Geology; Meteorology &amp; Atmospheric Sciences</t>
  </si>
  <si>
    <t>153LF</t>
  </si>
  <si>
    <t>Green Submitted, gold</t>
  </si>
  <si>
    <t>WOS:000077834000009</t>
  </si>
  <si>
    <t>Walton, DWH</t>
  </si>
  <si>
    <t>Changing SCAR</t>
  </si>
  <si>
    <t>ANTARCTIC SCIENCE</t>
  </si>
  <si>
    <t>0954-1020</t>
  </si>
  <si>
    <t>ANTARCT SCI</t>
  </si>
  <si>
    <t>Antarct. Sci.</t>
  </si>
  <si>
    <t>10.1017/S0954102098000443</t>
  </si>
  <si>
    <t>Environmental Sciences; Geography, Physical; Geosciences, Multidisciplinary</t>
  </si>
  <si>
    <t>Environmental Sciences &amp; Ecology; Physical Geography; Geology</t>
  </si>
  <si>
    <t>153NN</t>
  </si>
  <si>
    <t>WOS:000077839300001</t>
  </si>
  <si>
    <t>Ansell, AD; Cattaneo-Vietti, R; Chiantore, M</t>
  </si>
  <si>
    <t>Swimming in the Antarctic scallop Adamussium colbecki:: analysis of in situ video recordings</t>
  </si>
  <si>
    <t>Adamussium colbecki; in situ video; scallop; swimming; Terra Nova Bay</t>
  </si>
  <si>
    <t>TERRA-NOVA BAY; HYDRODYNAMIC CHARACTERISTICS; ROSS SEA; PECTINIDAE; BIVALVIA; SIZE</t>
  </si>
  <si>
    <t>Swimming activity of the Antarctic scallop at a temperature of c. -1.4 degrees C was analysed using in situ video recordings obtained from a remotely operated vehicle (ROV) in Terra Nova Bay, Ross Sea. Data are presented on swimming trajectories, distance travelled and velocity during a swimming bout, adduction frequency, shell gape angle, and the angular opening and closing velocities of shell. This scallop is an effective swimmer although swimming bouts in response to the ROV were generally short, consisting of 2-5 adduction cycles in the take-off phase followed by 1-4 (exceptionally 14) adductions during level swimming. The maximum velocity during each adduction cycle ranged from 19.4-43.1 cm s(-1) and the mean velocity during a swimming bout from 12.0-23.5 cm s(-1). Each adduction cycle consists of opening, closing and glide phases of approximately equal duration. Adduction frequency during swimming averaged 1.5 adductions s(-1).</t>
  </si>
  <si>
    <t>Dunstaffnage Marine Res Lab, Scottish Assoc Marine Sci, Oban PA34 4AD, Argyll, Scotland; Univ Genoa, Ist Zool, I-16128 Genoa, Italy; Univ Genoa, Ist Sci Ambientali Marine, I-16038 S Margherita Ligure, Ge, Italy</t>
  </si>
  <si>
    <t>UHI Millennium Institute; University of Genoa; University of Genoa</t>
  </si>
  <si>
    <t>Ansell, AD (corresponding author), Dunstaffnage Marine Res Lab, Scottish Assoc Marine Sci, POB 3, Oban PA34 4AD, Argyll, Scotland.</t>
  </si>
  <si>
    <t>Chiantore, Mariachiara/C-7070-2017</t>
  </si>
  <si>
    <t>Chiantore, Mariachiara/0000-0002-5862-1470</t>
  </si>
  <si>
    <t>32 AVENUE OF THE AMERICAS, NEW YORK, NY 10013-2473 USA</t>
  </si>
  <si>
    <t>1365-2079</t>
  </si>
  <si>
    <t>10.1017/S0954102098000455</t>
  </si>
  <si>
    <t>WOS:000077839300002</t>
  </si>
  <si>
    <t>Broady, PA; Weinstein, RN</t>
  </si>
  <si>
    <t>Algae, lichens and fungi in La Gorce Mountains, Antarctica</t>
  </si>
  <si>
    <t>algae; dispersal; fungi; lichens; ponds; soil</t>
  </si>
  <si>
    <t>TERRESTRIAL HABITATS; ENVIRONMENT; TEMPERATURE; ECOSYSTEMS; WATER; LAKES</t>
  </si>
  <si>
    <t>Two species of lichens, six cyanobacteria, one diatom, 10 chlorophytes and two mycelial fungi were found at La Gorce Mountains (86 degrees 30'S, 147 degrees W) at an altitude of about 1750 m. The lichens Lecidea cancriformis and Carbonea vorticosa occurred at a single site which is the most southerly record of lichens. Thousands of small ponds covered extensive ice-cored moraine. Nine ponds sampled had about 30 cm of ice overlying about 26 cm of water and contained algal mats dominated by Phormidium autumnale and cf. Leptolyngbya fragilis. The very low conductivity waters had high nitrate and low dissolved reactive phosphorus concentrations. Of 124 soil samples, five contained visible algae. In 32 there were only microscopic growths but no algae were detected in 87 samples, possibly because of lack of water for much of summer. A visible mat dominated by Hammatoidea normanni occurred in a rock fissure at the lichen site. At Price Bluff, green patches of Desmococcus cf. olivaceus, up to 20 cm(2), were scattered over the moraine. Growths were revealed at the soil-ice interface when overlying soil up to one centimetre thick was removed. It is suggested that although dispersal of algae from local populations maybe readily achieved establishment of populations is a rare event outside the pond environment.</t>
  </si>
  <si>
    <t>Univ Canterbury, Dept Plant &amp; Microbial Sci, Christchurch 1, New Zealand; Univ Cambridge, Dept Plant Sci, Cambridge CB2 3EA, England</t>
  </si>
  <si>
    <t>University of Canterbury; University of Cambridge</t>
  </si>
  <si>
    <t>Broady, PA (corresponding author), Univ Canterbury, Dept Plant &amp; Microbial Sci, Private Bag 4800, Christchurch 1, New Zealand.</t>
  </si>
  <si>
    <t>10.1017/S0954102098000467</t>
  </si>
  <si>
    <t>WOS:000077839300003</t>
  </si>
  <si>
    <t>Cavanagh, JE; Nichols, PD; Franzmann, PD; McMeekin, TA</t>
  </si>
  <si>
    <t>Hydrocarbon degradation by Antarctic coastal bacteria</t>
  </si>
  <si>
    <t>alkanes; Antarctic bacteria; hydrocarbon degradation; phenanthrene</t>
  </si>
  <si>
    <t>DEGRADING BACTERIA; OIL; PETROLEUM; BIOREMEDIATION; MICROORGANISMS; PHENANTHRENE; SEAWATER; ECOLOGY; LAND; SOIL</t>
  </si>
  <si>
    <t>Bacterial cultures obtained through selective enrichment of beach sand collected GO days and one year after treatment of sites in a pilot oil spill trial conducted at Airport Beach, Vestfold Hills, East Antarctica, were examined for the ability to degrade n-alkanes and phenanthrene. The effects of different hydrocarbon mixtures (Special Antarctic Blend [SAB] and BP-Visco), fish oil [orange roughy]) and inoculation of replicate sites with water from Organic Lake (previously shown to contain hydrocarbon-degrading bacteria) on the indigenous microbial population were examined. Of the cultures obtained, those from sites treated with SAB and BP-Visco degraded n-alkanes most consistently and typically to the greatest extent. Two mixed cultures obtained from samples collected at 60 days and two isolates obtained from these cultures extensively degraded phenanthrene. 1-Hydroxy-naphthoic acid formed the major phenanthrene metabolite. Lower levels of salicylic acid, l-naphthol 1,4-naphthaquinone and phenanthrene 9-10 dihydrodiol were detected in extracts of phenanthrene grown cultures. This study shows that under laboratory conditions indigenous Antarctic bacteria can degrade n-alkanes and the more recalcitrant polycyclic aromatic hydrocarbon, phenanthrene. The enrichment of hydrocarbon degrading microorganisms in Antarctic ecosystems exposed to hydrocarbons is relevant for the long term fate hydrocarbon spills in this environment.</t>
  </si>
  <si>
    <t>Univ Tasmania, Australian Collect Antarctic Microorganisms, Antarctic Cooperat Res Ctr, Hobart, Tas 7001, Australia; CSIRO, Div Marine Res, Hobart, Tas 7000, Australia; Univ Tasmania, Dept Agr Sci, Hobart, Tas 7001, Australia; CSIRO, Wembly, WA 6014, Australia</t>
  </si>
  <si>
    <t>University of Tasmania; Commonwealth Scientific &amp; Industrial Research Organisation (CSIRO); University of Tasmania; Commonwealth Scientific &amp; Industrial Research Organisation (CSIRO)</t>
  </si>
  <si>
    <t>Cavanagh, JE (corresponding author), Univ Tasmania, Australian Collect Antarctic Microorganisms, Antarctic Cooperat Res Ctr, POB 252C, Hobart, Tas 7001, Australia.</t>
  </si>
  <si>
    <t>Nichols, Peter D/C-5128-2011</t>
  </si>
  <si>
    <t>10.1017/S0954102098000479</t>
  </si>
  <si>
    <t>WOS:000077839300004</t>
  </si>
  <si>
    <t>Gutt, J; Schickan, T</t>
  </si>
  <si>
    <t>Epibiotic relationships in the Antarctic benthos</t>
  </si>
  <si>
    <t>Antarctic; benthos; commensalism; interactions</t>
  </si>
  <si>
    <t>WEDDELL SEA; COMMUNITIES</t>
  </si>
  <si>
    <t>On the high Antarctic shelf, 374 different epibiotic relationships of the megafauna were photographically registered and statistically analysed. These comprised 47 different epibiotic and 96 substratum taxa and had obvious differences in abundance and presence in three different benthic assemblages. Six abundant obligatory relationships in which the epibiont occurred almost exclusively on one type of substratum had highly specialized epibionts. For an additional eight relationships, a statistical test revealed that the epibionts preferred specific living and elevated mineral substrata. Most of these relationships are interpreted as commensalism (sensu Odum) in which the suspension feeding epibiont profits from the elevated position. Here it has better access to food compared with life on the sediment. The evolution of a rich and mainly sessile epifauna on parts of the high Antarctic shelves and the successful development of epibiotic behaviour in other species are suggested as a major reason for the high species richness in the benthic fauna. The results provide evidence that the Antarctic megabenthos is more biologically accommodated than physically controlled.</t>
  </si>
  <si>
    <t>Alfred Wegener Inst Polar &amp; Marine Res, D-27568 Bremerhaven, Germany</t>
  </si>
  <si>
    <t>Alfred Wegener Inst Polar &amp; Marine Res, Columbusstr, D-27568 Bremerhaven, Germany.</t>
  </si>
  <si>
    <t>jgutt@awi-bremerhaven.de</t>
  </si>
  <si>
    <t>Gutt, Julian/0000-0003-3773-9370</t>
  </si>
  <si>
    <t>10.1017/S0954102098000480</t>
  </si>
  <si>
    <t>WOS:000077839300005</t>
  </si>
  <si>
    <t>Hofmann, EE; Klinck, JM; Locarnini, RA; Fach, B; Murphy, E</t>
  </si>
  <si>
    <t>Krill transport in the Scotia Sea and environs</t>
  </si>
  <si>
    <t>Antarctic Circumpolar Current; Antarctic krill transport; Lagrangian models; South Georgia</t>
  </si>
  <si>
    <t>ANTARCTIC CIRCUMPOLAR CURRENT; EUPHAUSIA-SUPERBA; SOUTHERN-OCEAN; WIND STRESS; CIRCULATION; GROWTH; WATER</t>
  </si>
  <si>
    <t>Historical observations of the large-scale flow and frontal structure of the Antarctic Circumpolar Current in the Scotia Sea region were combined with the wind-induced surface Ekman transport to produce a composite Bow field. This was used with a Lagrangian model to investigate transport of Antarctic krill. Particle displacements from known krill spawning areas that result from surface Ekman drift, a composite large-scale now, and the combination of the two were calculated Surface Ekman drift alone only transports particles a few kilometres over the 150-day krill larval development time. The large-scale composite flow moves particles several hundreds of kilometres over the same time, suggesting this is the primary transport mechanism. An important contribution of the surface Ekman drift on particles released along the continental shelf break west of the Antarctic Peninsula is moving them north-northeast into the high-speed core of the southern Antarctic Circumpolar Current Front, which then transports the particles to South Georgia in about 140-160 days. Similar particle displacement calculations using surface now fields obtained from the Fine Resolution Antarctic Model do not show overall transport from the Antarctic Peninsula to South Georgia due to the inaccurate position of the southern Antarctic Circumpolar Current Front in the simulated circulation fields. The particle transit times obtained with the composite large-scale flow field are consistent with regional abundances of larval krill developmental stages collected in the Scotia Sea. These results strongly suggest that krill populations west of the Antarctic Peninsula provide the source for the krill populations found around South Georgia.</t>
  </si>
  <si>
    <t>Old Dominion Univ, Ctr Coastal Phys Oceanog, Norfolk, VA 23529 USA; British Antarctic Survey, NERC, Cambridge CB3 0ET, England</t>
  </si>
  <si>
    <t>Old Dominion University; UK Research &amp; Innovation (UKRI); Natural Environment Research Council (NERC); NERC British Antarctic Survey</t>
  </si>
  <si>
    <t>Hofmann, EE (corresponding author), Old Dominion Univ, Ctr Coastal Phys Oceanog, Crittenton Hall, Norfolk, VA 23529 USA.</t>
  </si>
  <si>
    <t>murphy, eugene/GZL-1620-2022; Fach, Bettina A/B-6003-2016; Fach, Bettina A/JCE-6687-2023</t>
  </si>
  <si>
    <t>Fach, Bettina A/0000-0003-4688-1918; Klinck, John/0000-0003-4312-5201</t>
  </si>
  <si>
    <t>10.1017/S0954102098000492</t>
  </si>
  <si>
    <t>WOS:000077839300006</t>
  </si>
  <si>
    <t>North, AW; White, MG; Trathan, PN</t>
  </si>
  <si>
    <t>Interannual variability in the early growth rate and size of the Antarctic fish Gobionotothen gibberifrons (Lonnberg)</t>
  </si>
  <si>
    <t>fish; Gobionotothen gibberifrons; growth; Notothenioidei; variability</t>
  </si>
  <si>
    <t>SEA-ICE EXTENT; SOUTH-GEORGIA; CHLOROPHYLL-A; TEMPERATURE; SUMMER; ZOOPLANKTON; ABUNDANCE; ATLANTIC; WINTER; KRILL</t>
  </si>
  <si>
    <t>Gobionotothen gibberifrons &lt;1 year old, of the 1977, 1980, 1981, 1985, 1986, 1990 and 1995 cohorts, were sampled using nets, in various periods during summer(December to February) at South Georgia. Growth in standard length (L-S) was estimated using the exponential model. Among the seven cohorts, average growth rate varied between 0.33-2.1% L-S d(-1), and predicted L-S for mid-January varied between 21.6-29.1 mm. Average growth rate was inversely related to mean date of sampling but was not significantly related to mean L-S. Mean sea surface temperatures were available for the 1981-95 cohorts. Average growth rate and predicted L-S for mid-January were both negatively correlated with mean December-January sea temperature, but were not significantly related to mean weekly sea surface temperature during the sampling periods. Greater average growth rate and greater L-S in cooler summers may be partly due to a large-scale pattern of environmental variability, indicated by sea temperature, that governs the timing and magnitude of the production cycle and food availability.</t>
  </si>
  <si>
    <t>North, AW (corresponding author), British Antarctic Survey, NERC, High Cross,Madingley Rd, Cambridge CB3 0ET, England.</t>
  </si>
  <si>
    <t>a.north@bas.ac.uk</t>
  </si>
  <si>
    <t>10.1017/S0954102098000509</t>
  </si>
  <si>
    <t>WOS:000077839300007</t>
  </si>
  <si>
    <t>Selkirk, PM; Skotnicki, ML; Ninham, J; Connett, MB; Armstrong, J</t>
  </si>
  <si>
    <t>Genetic variation and dispersal of Bryum argenteum and Hennediella heimii populations in the Garwood Valley, southern Victoria Land, Antarctica.</t>
  </si>
  <si>
    <t>Antarctica; Bryum argenteum; Hennediella heimii; moss; RAPD</t>
  </si>
  <si>
    <t>A detailed study was made of the extent of genetic variation within populations of two moss species, Bryum argenteum and Hennediella heimii, from the Garwood Valley in Southern Victoria Land, Antarctica. RAPD (Random Amplified Polymorphic DNA) technology was used to analyse over 30 clumps of each species, collected from adjacent sites in five small meltstream drainage channels. Overall, extensive genetic variation was found, with no two samples being identical in either species. For both species, most clumps showed within-clump variation, although generally the shoots from each clump were most closely related to other shoots from that clump, indicating somatic mutation. Of the B. argenteum isolates, most showed distinct clustering corresponding to the five drainage channels, with some clustering within the top, middle or bottom of the channels, and separation of northern and southern sides of the valley. There was some evidence of across-channel dispersal for B. argenteum. For H. heimii, the situation was quite different; there was very little clustering of clumps according to channel from which they were collected. Rather, the isolates appeared to form one continuous population across the five channels, with partial separation of northern and southern sides of the valley. These results are consistent with the predicted means of dispersal of these species in Antarctica: predominantly by water for B. argenteum, and by wind for H. heimii.</t>
  </si>
  <si>
    <t>Australian Natl Univ, Res Sch Biol Sci, Inst Adv Studies, Canberra, ACT 2601, Australia; Macquarie Univ, Sch Biol Sci, Sydney, NSW 2109, Australia; Univ Waikato, Sch Sci &amp; Technol, Dept Sci Biol, Hamilton, New Zealand</t>
  </si>
  <si>
    <t>Australian National University; Macquarie University; University of Waikato</t>
  </si>
  <si>
    <t>Selkirk, PM (corresponding author), Australian Natl Univ, Res Sch Biol Sci, Inst Adv Studies, POB 475, Canberra, ACT 2601, Australia.</t>
  </si>
  <si>
    <t>skotnicki@rsbs.anu.edu.au</t>
  </si>
  <si>
    <t>Connett, Marie/0000-0001-5016-9689</t>
  </si>
  <si>
    <t>10.1017/S0954102098000510</t>
  </si>
  <si>
    <t>WOS:000077839300008</t>
  </si>
  <si>
    <t>Smith, JMB; Bayliss-Smith, TP</t>
  </si>
  <si>
    <t>Kelp-plucking:: coastal erosion facilitated by bull-kelp Durvillaea antarctica at subantarctic Macquarie Island</t>
  </si>
  <si>
    <t>bioerosion; Durvillaea; intertidal ecology; kelp; Macquarie Island; subantarctic</t>
  </si>
  <si>
    <t>FOREST</t>
  </si>
  <si>
    <t>Erosion of bedrock from lower intertidal reefs by waves acting on attached plants of bull-kelp (Durvillaea antarctica) was investigated over one year at Macquarie Island, Southern Ocean. At a site on the more sheltered east coast, such erosion occurred during four separate storms, each casting up 834-1078 large kelp plants km(-1) of coast, of which 30-45% were still attached to jagged, freshly quarried bedrock fragments over 2.5 cm long. The largest fragment weighed was 74.6 kg; rounded cobbles and boulders attached to kelp plants and weighing up to 102.2 kg (and probably more than 160 kg) were also cast up on beaches. 19-21% of the standing crop of large kelp plants was removed by storms during the year of observation. Break points for 10 kelp stipes were found to be at least 90-161 kg. Total annual erosion by kelp-plucking is at least 1.56 tomes of rock km(-1) of coast. However, in terms of erosion this computes to only 0.1 mm yr(-1), far below the rate of uplift of the island.</t>
  </si>
  <si>
    <t>Australian Antarctic Div, Kingston, Tas 7050, Australia; Univ Cambridge, Dept Geog, Cambridge CB2 3EN, England</t>
  </si>
  <si>
    <t>Australian Antarctic Division; University of Cambridge</t>
  </si>
  <si>
    <t>Smith, JMB (corresponding author), Univ New England, Sch Human &amp; Environm Studies, Armidale, NSW 2351, Australia.</t>
  </si>
  <si>
    <t>10.1017/S0954102098000522</t>
  </si>
  <si>
    <t>WOS:000077839300009</t>
  </si>
  <si>
    <t>Takamatsu, N; Kato, N; Matsumoto, GI; Torii, T</t>
  </si>
  <si>
    <t>The origin of salts in water bodies of the McMurdo Dry Valleys</t>
  </si>
  <si>
    <t>Antarctic lake; Li; McMurdo Dry Valleys; salt origin</t>
  </si>
  <si>
    <t>VICTORIA LAND; ANTARCTICA; EVOLUTION</t>
  </si>
  <si>
    <t>Lithium distributions in lake and pond waters of the McMurdo Dry Valleys of southern Victoria Land, Antarctica were studied to elucidate the origin of dissolved salts and the evolutionary history of the lakes and ponds. The Ef(Li)[(Li/Cl)sample/(Li/Cl)seawater] values of the bottom waters in Lakes Bonney and Fryxell were higher than unity (Ef(Li) = 4-7), indicating that the salts originated from sea salts (probably relict seawater) and have been subsequently modified by the contribution of meltwaters containing atmospheric fallout and/or rock and soil weathering products. In contrast,extremely high Li concentrations with high Ef(Li) values in the Don Juan Pond water (Ef(Li) = 180) and the bottom waters of Lake Vanda (Ef(Li) = 40) suggest that the salts originated from deep groundwaters influenced mainly by saline water-rock interactions, as supported by the dissolution experiments of granite in NaCl solution. The low Li concentrations of pond waters with high Ef(Li) values in the Labyrinth indicate that the salts are derived from atmospheric fallout. The decrease of the Ef(Li) values with the increase Of Cl concentrations can be explained by the repeated cycles of the migration of Li into the ice phase and subsequent ablation of surface ice, as indicated by seawater freezing experiments.</t>
  </si>
  <si>
    <t>Toho Univ, Fac Sci, Miyamae Ku, Funabashi, Chiba 2748510, Japan; Toho Univ, Sch Med, Ota Ku, Tokyo 1438540, Japan; Otruma Womens Univ, Sch Social Informat Studies, Tama Ku, Tokyo 2068540, Japan; Japan Polar Res Assoc, Chiyoda Ku, Tokyo 1020093, Japan</t>
  </si>
  <si>
    <t>Toho University</t>
  </si>
  <si>
    <t>Takamatsu, N (corresponding author), Toho Univ, Fac Sci, Miyamae Ku, Funabashi, Chiba 2748510, Japan.</t>
  </si>
  <si>
    <t>10.1017/S0954102098000534</t>
  </si>
  <si>
    <t>WOS:000077839300010</t>
  </si>
  <si>
    <t>Woehler, EJ; Riddle, MJ</t>
  </si>
  <si>
    <t>Spatial relationships of Adelie penguin colonies: implications for assessing population changes from remote imagery</t>
  </si>
  <si>
    <t>Adelie penguin; Mawson; population change; population monitoring; remote sensing</t>
  </si>
  <si>
    <t>ANTARCTICA</t>
  </si>
  <si>
    <t>The relationship between colony area and population density of Adelie penguins Pygoscelis adeliae was examined to determine whether colony area, measured from aerial or satellite imagery, could be used to estimate population density, and hence detect changes in populations over time. Using maps drawn from vertical aerial photographs of Adelie penguin colonies in the Mawson region, pair density ranged between 0.1 and 3.1 pairs m(-2), with a mean of 0.63 +/- 0.3 pairs m(-2). Colony area explained 96.4% of the variance in colony populations (range 90.4-99.6%) for 979 colonies at Mawson. Mean densities were not significantly different among the 19 islands in the region, but significant differences in mean pair density were observed among colonies in Mawson, Whitney Point (Casey, East Antarctica) and Cape Crozier (Ross Sea) populations. The relationship between colony area and population may be locality- and/or species-specific, and a robust data set is required to validate the relationship.</t>
  </si>
  <si>
    <t>Australian Antarctic Div, Kingston, Tas 7050, Australia</t>
  </si>
  <si>
    <t>Woehler, EJ (corresponding author), Australian Antarctic Div, Channel Highway, Kingston, Tas 7050, Australia.</t>
  </si>
  <si>
    <t>Woehler, Eric/0000-0002-1125-0748</t>
  </si>
  <si>
    <t>10.1017/S0954102098000546</t>
  </si>
  <si>
    <t>WOS:000077839300011</t>
  </si>
  <si>
    <t>Cooper, APR; Smellie, JL; Maylin, J</t>
  </si>
  <si>
    <t>Evidence for shallowing and uplift from bathymetric records of Deception Island, Antarctica</t>
  </si>
  <si>
    <t>Antarctica; bathymetry; caldera; Deception Island; deformation</t>
  </si>
  <si>
    <t>SOUTH-SHETLAND ISLANDS</t>
  </si>
  <si>
    <t>Deception Island is a large volcanic centre in Bransfield Strait, a very young marginal basin between the South Shetland Islands and Antarctic Peninsula. It has a historical record of volcanic activity, with the most recent eruption occurring in 1970. The island is a stratovolcano with a large flooded caldera forming a natural harbour known as Port Foster. It has been a focus of human activity since early last century, as a base for whaling and sealing expeditions and the locus of several scientific stations. During that period, many bathymetric surveys were carried out, the earliest in 1829 and the most recent in 1993. This study concentrates on surveys from 1948 onwards. Because Port Foster can be classified as a restless caldera, the bathymetric records were analysed for evidence of volcano-tectonic deformation, particularly caldera resurgence (uplift) which could have significant consequences for hazard and risk assessments of the volcano. The results show that a distinctive pattern of shallowing and uplift is present, correlating well with known and inferred volcanic and volcano-tectonic processes on the island. In particular, bathymetric records between 1949 and 1993 show uplift rates as high as 0.3-015 m a(-1), far exceeding normal sedimentation rates in a caldera this size. Rapid uplift in an arcuate offshore area not affected by the sedimentation of recent eruptions suggests that volcano tectonic resurgence or tectono-magmatic effects of an upward migrating magma chamber present a significant risk to the considerable human activity taking place in the region.</t>
  </si>
  <si>
    <t>Cooper, APR (corresponding author), British Antarctic Survey, NERC, High Cross,Madingley Rd, Cambridge CB3 0ET, England.</t>
  </si>
  <si>
    <t>10.1017/S0954102098000558</t>
  </si>
  <si>
    <t>WOS:000077839300012</t>
  </si>
  <si>
    <t>Griffiths, CJ; Oglethorpe, RDJ</t>
  </si>
  <si>
    <t>The stratigraphy and geochronology of Adelaide Island</t>
  </si>
  <si>
    <t>Antarctica; 40Ar-39Ar dating; geochronology; Mesozoic; plutonism; sedimentation; Tertiary; volcanism</t>
  </si>
  <si>
    <t>ANTARCTIC PENINSULA; ALEXANDER ISLAND; MAGMATISM; ARC; BASIN; ROCKS; AGES</t>
  </si>
  <si>
    <t>The Mesozoic-Cenozoic volcanic are of the Antarctic Peninsula is represented on Adelaide Island by a sedimentary and volcanic succession intruded by plutons. 40Ar-39Ar step-heating age spectra have been obtained from volcanic rocks and hornblende separates from sedimentary clasts of plutonic origin. These spectra show evidence for some argon loss, but, in general, have plateau ages which are consistent with the mapped stratigraphy and with other geochronological controls, suggesting that they approximate to original ages. As a result the following events in the evolution of Adelaide Island can be recognized: 1)mostly marine Mesozoic sedimentation, 2) Early Cretaceous (c. 141 Ma) plutonism (recorded in clasts from conglomerates), 3) Cretaceous volcanism, 4) Late Cretaceous (possibly Tertiary) sedimentation, 5) Early Tertiary volcanism, which was acidic in eastern outcrops and intermediate elsewhere, and 6) Eocene intermediate volcanism and deposition of are-derived conglomerates. Volcanism was possibly coeval with known Palaeocene-Eocene plutonic activity on Adelaide Island (part of the Antarctic Peninsula Batholith) and with volcanism of similar age in northern Alexander Island and the South Shetland Islands. The volcanism on Adelaide Island and the South Shetland Islands, at least, was associated with a westward migration of the Antarctic Peninsula arc.</t>
  </si>
  <si>
    <t>Gorseinon Coll, Swansea SA4 6RD, W Glam, Wales; Univ Liverpool, Dept Earth Sci, Liverpool L69 3BX, Merseyside, England</t>
  </si>
  <si>
    <t>University of Liverpool</t>
  </si>
  <si>
    <t>Griffiths, CJ (corresponding author), Gorseinon Coll, Belgrave Rd, Swansea SA4 6RD, W Glam, Wales.</t>
  </si>
  <si>
    <t>10.1017/S095410209800056X</t>
  </si>
  <si>
    <t>WOS:000077839300013</t>
  </si>
  <si>
    <t>Hoch, M; Tobschall, HJ</t>
  </si>
  <si>
    <t>Minettes from Schirmacher Oasis, East Antarctica - indicators of an enriched mantle source</t>
  </si>
  <si>
    <t>geochemistry; minette; petrography; Schirmacher Oasis; subducted sediments</t>
  </si>
  <si>
    <t>CALC-ALKALINE LAMPROPHYRES; VOLCANIC-ROCKS; MICA-LAMPROPHYRES; CONTINENTAL-CRUST; OCEANIC-CRUST; ORIGIN; SUBDUCTION; AUSTRALIA; GENESIS; RICH</t>
  </si>
  <si>
    <t>Minette dykes intersect he Precambrian crystalline basement of Schirmacher Oasis, East Antarctica. The rocks have intermediate to basic compositions, showing shoshonitic to ultrapotassic character. The samples show enhanced concentrations of compatible elements and high mg# combined with extreme enrichments in LILE (especially Ba) and LREE. Mantle-normalized trace element patterns are characterized by coupled relative depletions of Nb and Ti and strong fractionations between LILE and HFSE. The minettes display fractionated chondrite-normalized REE patterns with high and varying LREE concentrations in contrast to relative low and nearly constant HREE contents. High magma-ascent and cooling rates of lamprophyric magmas argue against a fundamental change of the primary geochemical signatures in minette magmas by interactions with the continental crust during ascent. The major and trace element abundances of the studied minettes point to varying degrees of partial melting of a mantle source, which was enriched in LILE and LREE during or before the melting event. Incompatible element signatures argue for the involvement of subducted pelagic sediments.</t>
  </si>
  <si>
    <t>mhoch@geol.uni-erlangen.de</t>
  </si>
  <si>
    <t>10.1017/S0954102098000571</t>
  </si>
  <si>
    <t>WOS:000077839300014</t>
  </si>
  <si>
    <t>Stolarski, J</t>
  </si>
  <si>
    <t>Conopora (Stylasteridae, Hydrozoa) from the Eocene of Seymour Island</t>
  </si>
  <si>
    <t>Antarctica; Conopora; Eocene; La Meseta Formation; Seymour Island; Stylasteridae</t>
  </si>
  <si>
    <t>NEW-ZEALAND</t>
  </si>
  <si>
    <t>The first fossil stylasterid from Antarctic is reported from La Meseta Formation (Telm1: Early Eocene) of Seymour Island (Antarctic Peninsula): Conopora mariae sp. nov. This also is the earliest reliable fossil record of the genus Conopora. Conopora mariae differs from congeners by having much larger cyclosystems (diameter 2.5-4.5 mm). Cyclosystems of that size are exceptional among the Stylasteridae.</t>
  </si>
  <si>
    <t>PAN, Inst Paleobiol, PL-00818 Warsaw, Poland</t>
  </si>
  <si>
    <t>Polish Academy of Sciences; Institute of Paleobiology of the Polish Academy of Sciences</t>
  </si>
  <si>
    <t>Stolarski, J (corresponding author), PAN, Inst Paleobiol, Ul Twarda 51-55, PL-00818 Warsaw, Poland.</t>
  </si>
  <si>
    <t>Stolarski, Jaroslaw/V-9586-2017</t>
  </si>
  <si>
    <t>Stolarski, Jaroslaw/0000-0003-0994-6823</t>
  </si>
  <si>
    <t>10.1017/S0954102098000583</t>
  </si>
  <si>
    <t>WOS:000077839300015</t>
  </si>
  <si>
    <t>Jones, GOL; Kersley, L; Heaton, JAT; Ciraolo, L; Spalla, P</t>
  </si>
  <si>
    <t>Ionospheric electron content across the Antarctic continent</t>
  </si>
  <si>
    <t>ionosphere; plasma convection; satellite transmissions; total electron content</t>
  </si>
  <si>
    <t>LATITUDE F-REGION; IRREGULARITIES; CONVECTION</t>
  </si>
  <si>
    <t>Observations of satellite passes monitored at Halley and Terra Nova Bay have been combined to produce for the first time measurements of ionospheric electron content spanning the Antarctic continent. Results are presented from a sequence of four successive passes made during a period of some two hours that illustrate the development of the ionosphere over this wide spatial region. The observations are discussed in terms of the convective behaviour of the ionization, using results from the PACE radar and a standard model of the plasma flow.</t>
  </si>
  <si>
    <t>British Antarctic Survey, NERC, Cambridge CB3 0ET, England; Univ Coll Wales, Dept Phys, Aberystwyth SY23 3BZ, Dyfed, Wales; CNR, Ist Ric Onde Elettromagnet, Florence, Italy</t>
  </si>
  <si>
    <t>UK Research &amp; Innovation (UKRI); Natural Environment Research Council (NERC); NERC British Antarctic Survey; Aberystwyth University; Consiglio Nazionale delle Ricerche (CNR)</t>
  </si>
  <si>
    <t>Jones, GOL (corresponding author), British Antarctic Survey, NERC, High Cross,Madingley Rd, Cambridge CB3 0ET, England.</t>
  </si>
  <si>
    <t>o.jones@bas.ac.uk</t>
  </si>
  <si>
    <t>10.1017/S0954102098000595</t>
  </si>
  <si>
    <t>WOS:000077839300016</t>
  </si>
  <si>
    <t>Targett, PS</t>
  </si>
  <si>
    <t>Katabatic winds, hydraulic jumps and wind flow over the Vestfold Hills, East Antarctica</t>
  </si>
  <si>
    <t>hydraulic jump; katabatic wind; wind jump</t>
  </si>
  <si>
    <t>This paper examines two strong or gale-force wind events which began suddenly at Platcha, near the Antarctic ice sheet edge in the Vestfold Hills of East Antarctica, and at a later time were recorded at Davis after progressing slowly across the intervening 25 km of relatively low hills.</t>
  </si>
  <si>
    <t>Australian Bur Meteorol, Hobart, Tas 7001, Australia; Univ Tasmania, Inst Antarctic &amp; So Ocean Studies, Hobart, Tas 7001, Australia</t>
  </si>
  <si>
    <t>Bureau of Meteorology - Australia; University of Tasmania</t>
  </si>
  <si>
    <t>Targett, PS (corresponding author), Australian Bur Meteorol, GPO Box 727G, Hobart, Tas 7001, Australia.</t>
  </si>
  <si>
    <t>P.Targett@bom.gov.au</t>
  </si>
  <si>
    <t>10.1017/S0954102098000601</t>
  </si>
  <si>
    <t>WOS:000077839300017</t>
  </si>
  <si>
    <t>Li, N; Kendrick, BS; Manning, MC; Carpenter, JF; Duman, JG</t>
  </si>
  <si>
    <t>Secondary structure of antifreeze proteins from overwintering larvae of the beetle Dendroides canadensis</t>
  </si>
  <si>
    <t>ARCHIVES OF BIOCHEMISTRY AND BIOPHYSICS</t>
  </si>
  <si>
    <t>antifreeze proteins; Dendroides canadensis; cold tolerance; insect antifreeze; infrared spectroscopy; circular dichroism spectroscopy; freezing</t>
  </si>
  <si>
    <t>CIRCULAR-DICHROISM; FISH ANTIFREEZES; ANTARCTIC FISH; ICE; GLYCOPROTEINS; PEPTIDES; AGGREGATION; AMERICANUS; ADSORPTION; MECHANISM</t>
  </si>
  <si>
    <t>Antifreeze proteins from overwintering larvae of the beetle Dendroides canadensis are among the most active antifreeze proteins known. The Dendroides AFPs (DAFPs) consist of 6 or 7, 12- or 13-mer repeat units with a consensus sequence of -C-T-X-3-S-X-5-X-6-C-X-8-X(9-)A-X-11-T-X-13-. Nearly all of the Cys residues are in internal disulfide bridges between positions 1 and 7 within the repeats. The study presented here identified the secondary structure of the DAFPs using infrared and circular dichroism (CD) spectroscopies. The eight disulfide bridges impose significant constraints on potential secondary structural features (i.e., a number of three-residue gamma-turns) which may lead to unusual infrared and CD spectra that require special interpretation. At 25 degrees C the DAFPs contain similar to 46% beta-sheet, 39% turn, 2% helix, and 13% random structure. In the presence of ice there is a slight increase in helix and beta-sheet structures and a decrease in both turn and especially random structures. This change in the presence of ice may reflect a certain amount of flexibility in the DAFP structure. These structural changes may permit an improved lattice match between the DAFPs and ice, a requisite for the noncolligative freezing-point-depressing activity of the DAFPs. (C) 1998 Academic Press.</t>
  </si>
  <si>
    <t>Univ Notre Dame, Dept Biol Sci, Notre Dame, IN 46556 USA; Univ Colorado, Hlth Sci Ctr, Sch Pharm, Denver, CO 80262 USA</t>
  </si>
  <si>
    <t>University of Notre Dame; University of Colorado System; University of Colorado Anschutz Medical Campus; University of Colorado Denver</t>
  </si>
  <si>
    <t>Duman, JG (corresponding author), Univ Notre Dame, Dept Biol Sci, Notre Dame, IN 46556 USA.</t>
  </si>
  <si>
    <t>duman.1@nd.edu</t>
  </si>
  <si>
    <t>Kendrick, Brent/0009-0001-5187-7844</t>
  </si>
  <si>
    <t>ACADEMIC PRESS INC</t>
  </si>
  <si>
    <t>525 B ST, STE 1900, SAN DIEGO, CA 92101-4495 USA</t>
  </si>
  <si>
    <t>0003-9861</t>
  </si>
  <si>
    <t>ARCH BIOCHEM BIOPHYS</t>
  </si>
  <si>
    <t>Arch. Biochem. Biophys.</t>
  </si>
  <si>
    <t>DEC 1</t>
  </si>
  <si>
    <t>10.1006/abbi.1998.0930</t>
  </si>
  <si>
    <t>145EB</t>
  </si>
  <si>
    <t>WOS:000077357100004</t>
  </si>
  <si>
    <t>Wynn-Williams, D; Murdin, P</t>
  </si>
  <si>
    <t>Exobiology in the UK</t>
  </si>
  <si>
    <t>ASTRONOMY &amp; GEOPHYSICS</t>
  </si>
  <si>
    <t>LIFE; SEARCH; MARS</t>
  </si>
  <si>
    <t>British Antarctic Survey, Cambridge CB3 0ET, England; BNSC, London SW1W 9SS, England</t>
  </si>
  <si>
    <t>Wynn-Williams, D (corresponding author), British Antarctic Survey, High Cross,Madingley Rd, Cambridge CB3 0ET, England.</t>
  </si>
  <si>
    <t>IOP PUBLISHING LTD</t>
  </si>
  <si>
    <t>BRISTOL</t>
  </si>
  <si>
    <t>DIRAC HOUSE, TEMPLE BACK, BRISTOL BS1 6BE, ENGLAND</t>
  </si>
  <si>
    <t>1366-8781</t>
  </si>
  <si>
    <t>ASTRON GEOPHYS</t>
  </si>
  <si>
    <t>Astron. Geophys.</t>
  </si>
  <si>
    <t>10.1093/astrog/39.6.6.29</t>
  </si>
  <si>
    <t>Astronomy &amp; Astrophysics; Geochemistry &amp; Geophysics</t>
  </si>
  <si>
    <t>143HK</t>
  </si>
  <si>
    <t>WOS:000077249100022</t>
  </si>
  <si>
    <t>Borchers, DL; Zucchini, W; Fewster, RM</t>
  </si>
  <si>
    <t>Mark-recapture models for line transect surveys</t>
  </si>
  <si>
    <t>BIOMETRICS</t>
  </si>
  <si>
    <t>detection probabilities; line transect; mark-recapture; wildlife abundance estimation</t>
  </si>
  <si>
    <t>CAPTURE-RECAPTURE; POPULATION-SIZE; BIAS</t>
  </si>
  <si>
    <t>One of the key assumptions of conventional line transect (LT) theory is that all animals in the observer's path are detected. When this assumption fails, simultaneous survey by two independent observers can be used to estimate detection probabilities and abundance. Models are developed for such surveys for both grouped and ungrouped perpendicular distance data. The models unify and generalize existing line transect and mark-recapture models. They provide a general framework for the estimation of abundance from LT surveys in which detection of animals on the trackline is not certain and/or the probability of detection depends on perpendicular distance and additional covariates. Existing LT models in the literature are obtained as special cases of the general models. We use data from a shipboard line transect survey of Antarctic minke whales to illustrate use of the models.</t>
  </si>
  <si>
    <t>Univ St Andrews, Inst Math, Res Unit Wildlife Populat Assessment, St Andrews KY16 9SS, Fife, Scotland; Univ Gottingen, Inst Stat &amp; Okonometrie, D-37073 Gottingen, Germany</t>
  </si>
  <si>
    <t>University of St Andrews; University of Gottingen</t>
  </si>
  <si>
    <t>Borchers, DL (corresponding author), Univ St Andrews, Inst Math, Res Unit Wildlife Populat Assessment, St Andrews KY16 9SS, Fife, Scotland.</t>
  </si>
  <si>
    <t>, David/X-5730-2019</t>
  </si>
  <si>
    <t>Borchers, David/0000-0002-3944-0754; Fewster, Rachel/0000-0002-4384-978X</t>
  </si>
  <si>
    <t>INTERNATIONAL BIOMETRIC SOC</t>
  </si>
  <si>
    <t>1441 I ST, NW, SUITE 700, WASHINGTON, DC 20005-2210 USA</t>
  </si>
  <si>
    <t>0006-341X</t>
  </si>
  <si>
    <t>Biometrics</t>
  </si>
  <si>
    <t>10.2307/2533651</t>
  </si>
  <si>
    <t>Biology; Mathematical &amp; Computational Biology; Statistics &amp; Probability</t>
  </si>
  <si>
    <t>Life Sciences &amp; Biomedicine - Other Topics; Mathematical &amp; Computational Biology; Mathematics</t>
  </si>
  <si>
    <t>154PZ</t>
  </si>
  <si>
    <t>WOS:000077898700001</t>
  </si>
  <si>
    <t>Arthern, RJ; Wingham, DJ</t>
  </si>
  <si>
    <t>The natural fluctuations of firn densification and their effect on the geodetic determination of ice sheet mass balance</t>
  </si>
  <si>
    <t>CLIMATIC CHANGE</t>
  </si>
  <si>
    <t>DRONNING-MAUD-LAND; SNOW-ACCUMULATION; GREENLAND; PRESSURE; ANTARCTICA; COMPACTION; ALTIMETRY; CREEP</t>
  </si>
  <si>
    <t>A one-dimensional, numerical model of time-evolving firn densification was used to simulate the response of the density profile through an ice sheet to changes in the temperature, density and accumulation rate at the surface. The equilibrium response of the model was compared with ice-core density profiles from Byrd, Antarctica and Site 2, Greenland, and the model predicted the density to within 10% of both cores.. The response of the model to step-wise changes and random fluctuations in the surface boundary conditions was investigated. The standard deviation of elevation changes as a function of observation interval was computed. These changes were found to be small in comparison with the magnitude of present uncertainties in the mass balances of the Antarctic and Greenland Ice Sheets. It was concluded that, in the dry snow zones, natural variability in the densification will not prevent the geodetic determination of ice sheet mass balance from improving upon current estimates. Uncertainty in the constitutive equation for snow and firn is the dominant source of error in the calculations.</t>
  </si>
  <si>
    <t>UCL, Mullard Space Sci Lab, Dept Space &amp; Climate Phys, Dorking RH5 6NT, Surrey, England</t>
  </si>
  <si>
    <t>University of London; University College London</t>
  </si>
  <si>
    <t>Arthern, RJ (corresponding author), Univ Washington, Appl Phys Lab, 1013 NE 40th St, Seattle, WA 98105 USA.</t>
  </si>
  <si>
    <t>0165-0009</t>
  </si>
  <si>
    <t>Clim. Change</t>
  </si>
  <si>
    <t>10.1023/A:1005320713306</t>
  </si>
  <si>
    <t>138BW</t>
  </si>
  <si>
    <t>WOS:000076952400008</t>
  </si>
  <si>
    <t>Zagorodnov, V; Thompson, LG; Kelley, JJ; Koci, B; Mikhalenko, V</t>
  </si>
  <si>
    <t>Antifreeze thermal ice core drilling: an effective approach to the acquisition of ice cores</t>
  </si>
  <si>
    <t>COLD REGIONS SCIENCE AND TECHNOLOGY</t>
  </si>
  <si>
    <t>antifreeze thermal electric drills; ice cores; glaciers</t>
  </si>
  <si>
    <t>Antifreeze thermal electric drills have a long history of ice drilling in temperate, subpolar and polar glaciers. Shallow, intermediate and deep ice cores have been obtained in Arctic, Antarctic and on high elevation glaciers. Many merits and drawbacks of antifreeze thermal technology have been discovered over the past 25 years. A modified version of the antifreeze thermal electric ice coring drill has recently been developed and tested in the laboratory and in the field for use with an ethanol-water solution. This thermal drill reduces thermal stresses in an ice core by a factor of 5 compared to that of conventional thermal drills and produces good quality ice core. The new drill was used to obtain a 315-m ice core in Franz Josef Land in the high Russian Arctic. It is viewed as a practical and cost-effective alternative to the electromechanical fluid-operated drills for intermediate depth ice coring in subpolar sand remote high elevation glaciers. Alternating an electromechanical drill with the antifreeze thermal drill in the bottom of Antarctic Ice Sheet may provide a cost effective way for acquiring good quality multiple ice cores. This approach would also reduce possible environmental impact on subglacial lakes and allow making multiple access holes. Previous results of ice coring with an ethanol-water solution are summarized below. Then, the new thermal drilling equipment along with the results of laboratory and field tests are presented. All aspects of the antifreeze thermal electric drilling process are discussed along with prospects for further improvements. (C) 1998 Elsevier Science B.V. All rights reserved.</t>
  </si>
  <si>
    <t>Ohio State Univ, Byrd Polar Res Ctr, Columbus, OH 43210 USA; Univ Alaska, Inst Marine Sci, Fairbanks, AK 99775 USA; Russian Acad Sci, Inst Geog, Moscow, Russia</t>
  </si>
  <si>
    <t>University System of Ohio; Ohio State University; University of Alaska System; University of Alaska Fairbanks; Institute of Geography, Russian Academy of Sciences; Russian Academy of Sciences</t>
  </si>
  <si>
    <t>Ohio State Univ, Byrd Polar Res Ctr, 1090 Carmack Rd, Columbus, OH 43210 USA.</t>
  </si>
  <si>
    <t>Mikhalenko, Vladimir N/A-4253-2014</t>
  </si>
  <si>
    <t>0165-232X</t>
  </si>
  <si>
    <t>1872-7441</t>
  </si>
  <si>
    <t>COLD REG SCI TECHNOL</t>
  </si>
  <si>
    <t>Cold Reg. Sci. Tech.</t>
  </si>
  <si>
    <t>10.1016/S0165-232X(98)00019-6</t>
  </si>
  <si>
    <t>Engineering, Environmental; Engineering, Civil; Geosciences, Multidisciplinary</t>
  </si>
  <si>
    <t>Engineering; Geology</t>
  </si>
  <si>
    <t>166AF</t>
  </si>
  <si>
    <t>WOS:000078553500004</t>
  </si>
  <si>
    <t>Demant, A; Belmar, M; Hervé, F; Pankhurst, R; Suárez, M</t>
  </si>
  <si>
    <t>Petrology and geochemistry of the Murta basalts:: a subglacial eruption in the Patagonian Andes (46° lat. S.), Chile.: Relationship with the subduction of the Chile Ridge</t>
  </si>
  <si>
    <t>COMPTES RENDUS DE L ACADEMIE DES SCIENCES SERIE II FASCICULE A-SCIENCES DE LA TERRE ET DES PLANETES</t>
  </si>
  <si>
    <t>volcanism; Andes; petrology; geochemistry; geodynamic context; Chile Ridge</t>
  </si>
  <si>
    <t>TRIPLE JUNCTION AREA; SOUTHERN CHILE; SPREADING-RIDGE; PLATEAU LAVAS; MARGIN; TRENCH; TECTONICS; COLLISION; AMERICA; ELEMENT</t>
  </si>
  <si>
    <t>The Holocene Murta basalts represent a small volume monogenetic centre located in the northern Patagonian Andes at the latitude of the Chile Triple Junction. These basalts show morphological evidence of subglacial eruption. They are locally porphyritic with large plagioclase feldspar, clinopyroxene and olivine megacrysts. The major- and trace-element concentrations, REE: patterns, and isotopic data, distinguish them clearly from the other Holocene are basalts or the Palaeocene back-are lavas. Their asthenospheric signature is in accordance with a geodynamic context characterised, since the Miocene, by the subduction of the Chile Ridge below the South American Plate and the progressive development of a slab window.</t>
  </si>
  <si>
    <t>Univ Aix Marseille 3, F-13397 Marseille 20, France; Univ Basel, Mineral Petrog Inst, CH-4056 Basel, Switzerland; Univ Chile, Dept Geol, Santiago, Chile; British Antarctic Survey, NERC, Isotope Geosci Lab, Nottingham NG12 5GG, England; Serv Nacl Geol &amp; Mineria, Santiago, Chile</t>
  </si>
  <si>
    <t>Aix-Marseille Universite; University of Basel; Universidad de Chile; UK Research &amp; Innovation (UKRI); Natural Environment Research Council (NERC); NERC British Antarctic Survey; NERC British Geological Survey</t>
  </si>
  <si>
    <t>Demant, A (corresponding author), Univ Aix Marseille 3, Case 441, F-13397 Marseille 20, France.</t>
  </si>
  <si>
    <t>alain.demant@lithos.u-3mrs.fr</t>
  </si>
  <si>
    <t>Herve, Francisco/HDO-6628-2022</t>
  </si>
  <si>
    <t>1251-8050</t>
  </si>
  <si>
    <t>CR ACAD SCI II A</t>
  </si>
  <si>
    <t>Comptes Rendus Acad. Sci. Ser II-A</t>
  </si>
  <si>
    <t>10.1016/S1251-8050(99)80053-6</t>
  </si>
  <si>
    <t>159FA</t>
  </si>
  <si>
    <t>WOS:000078160200003</t>
  </si>
  <si>
    <t>Cheng, CHC</t>
  </si>
  <si>
    <t>Evolution of the diverse antifreeze proteins</t>
  </si>
  <si>
    <t>CURRENT OPINION IN GENETICS &amp; DEVELOPMENT</t>
  </si>
  <si>
    <t>PATHOGENESIS-RELATED PROTEINS; THERMAL HYSTERESIS PROTEIN; ANTARCTIC FISHES; WINTER RYE; ICE; GLACIATION; ADSORPTION; HISTORY; PLANT; OCEAN</t>
  </si>
  <si>
    <t>Different types of ice-growth-inhibiting antifreeze proteins, first recognized in fish, have now been isolated from insects and plants, and the list continues to expand. Their structures are amazingly diverse; how they attain the same function are subjects of intense research. Evolutionary precursors of several members have been identified - divergent proteins of apparently unrelated function. The hybridization of information from structural and molecular evolution studies of these molecules provides a forum in which issues of selection, gene genealogy, adaptive evolution, and invention of a novel function can be coherently addressed.</t>
  </si>
  <si>
    <t>Univ Illinois, Dept Mol &amp; Integrat Physiol, Urbana, IL 61801 USA</t>
  </si>
  <si>
    <t>University of Illinois System; University of Illinois Urbana-Champaign</t>
  </si>
  <si>
    <t>Cheng, CHC (corresponding author), Univ Illinois, Dept Mol &amp; Integrat Physiol, 407 S Goodwin, Urbana, IL 61801 USA.</t>
  </si>
  <si>
    <t>CURRENT BIOLOGY LTD</t>
  </si>
  <si>
    <t>34-42 CLEVELAND STREET, LONDON W1P 6LE, ENGLAND</t>
  </si>
  <si>
    <t>0959-437X</t>
  </si>
  <si>
    <t>CURR OPIN GENET DEV</t>
  </si>
  <si>
    <t>Curr. Opin. Genet. Dev.</t>
  </si>
  <si>
    <t>10.1016/S0959-437X(98)80042-7</t>
  </si>
  <si>
    <t>149PL</t>
  </si>
  <si>
    <t>WOS:000077614100016</t>
  </si>
  <si>
    <t>Boveng, PL; Hiruki, LM; Schwartz, MK; Bengtson, JL</t>
  </si>
  <si>
    <t>Population growth of Antarctic fur seals: Limitation by a top predator, the leopard seal?</t>
  </si>
  <si>
    <t>Arctocephalus gazella; breeding chronology; Hydrurga leptonyx; mortality rate; population recovery; population growth rare; predation; pup production; South Shetland Islands; top-down limitation</t>
  </si>
  <si>
    <t>ARCTOCEPHALUS-GAZELLA PETERS; SOUTH-GEORGIA; BREEDING-SEASON; HEARD-ISLAND; BIRD-ISLAND; ICE EXTENT; MORTALITY; DIET; BEHAVIOR; AGE</t>
  </si>
  <si>
    <t>Antarctic fur seals (Arctocephalus gazella) in the South Shetland Islands are recovering from 19th-century exploitation more slowly than the main population at South Georgia. To document demographic changes associated with the recovery in the South Shetlands, we monitored fur seal abundance and reproduction in the vicinity of Elephant Island during austral summers from 1986/1987 through 1994/1995. Total births, mean and variance of birth dates, and average daily mortality rates were estimated from daily live pup counts at North Cove (NC) and North Annex (NA) colonies on Seal Island. Sightings of leopard seals (Hydrurga leptonyx) and incidents of leopard seal predation on fur seal pups were recorded opportunistically during daily fur seal research at both sites. High mortality of fur seal pups, attributed to predation by leopard seals frequently observed at NC, caused pup numbers to decline rapidly between January and March (i.e., prior to weaning) each year and probably caused a long-term decline in the size of that colony. The NA colony, where leopard seals were never observed, increased in size during the study. Pup mortality from causes other than leopard seal predation appeared to be similar at the two sites. The number of pups counted at four locations in the Elephant Island vicinity increased slowly, at an annual rate of 3.8%, compared to rates as high as 11% at other locations in the South Shetland Islands. Several lines of circumstantial evidence are consistent with the hypothesis that leopard seal predators limit the growth of the fur seal population in the Elephant Island area and perhaps in the broader population in the South Shetland Islands. The sustained growth of this fur seal population over many decades rules out certain predator-prey models, allowing inference about the interaction between leopard seals and fur seals even though it is less thoroughly studied than predator-prey systems of terrestrial vertebrates of the northern hemisphere. Top-down forces should be included in hypotheses for future research on the factors shaping the recovery of the fur seal population in the South Shetland Islands.</t>
  </si>
  <si>
    <t>NOAA, Natl Marine Fisheries Serv, Alaska Fisheries Sci Ctr, Natl Marine Mammal Lab, Seattle, WA 98115 USA</t>
  </si>
  <si>
    <t>National Oceanic Atmospheric Admin (NOAA) - USA</t>
  </si>
  <si>
    <t>NOAA, Natl Marine Fisheries Serv, Alaska Fisheries Sci Ctr, Natl Marine Mammal Lab, 7600 Sand Point Way NE,Bin C15700, Seattle, WA 98115 USA.</t>
  </si>
  <si>
    <t>Schwartz, Michael/JFA-7828-2023</t>
  </si>
  <si>
    <t>Schwartz, Michael/0000-0003-3521-3367</t>
  </si>
  <si>
    <t>10.1890/0012-9658(1998)079[2863:PGOAFS]2.0.CO;2</t>
  </si>
  <si>
    <t>148JF</t>
  </si>
  <si>
    <t>WOS:000077501000021</t>
  </si>
  <si>
    <t>Gasparon, M</t>
  </si>
  <si>
    <t>Trace metals in water samples: minimising contamination during sampling and storage</t>
  </si>
  <si>
    <t>ENVIRONMENTAL GEOLOGY</t>
  </si>
  <si>
    <t>Antarctic freshwaters; sampling and storage techniques; trace metals</t>
  </si>
  <si>
    <t>LEAD; ICE</t>
  </si>
  <si>
    <t>Sampling, storage and analytical techniques are described for a pilot study on Antarctic freshwaters. The study was aimed at assessing the level of inorganic (mostly trace metals), anthropogenic contamination in freshwater lake systems in a relatively densely populated area of Antarctica. Among the different types of material tested for sample storage, Teflon(R) is the cleanest (lowest blanks), easiest to prepare, and gave the most precise and reliable results. Properly treated HDPE (high-density polyethylene) is also suitable for most trace elements (including Pb), but gave relatively high Zn blanks, and required lengthy and more complex cleaning procedures. Low-density polyethylene (LDPE) was found to be unsuitable for many elements of environmental significance. Irrespective of the type of container used for sample storage, reagents, sampling gear, and storage bottles must be properly treated prior to usage, and all phases of the sampling and analysis must be performed under very strict specifications, and thoroughly tested for contamination. The methods and the experience acquired during this pilot study can be applied in general to minimise contamination during sampling, sample storage and sample treatment for analysis of waters with ultra-low trace element concentrations.</t>
  </si>
  <si>
    <t>Univ Queensland, Dept Earth Sci, St Lucia, Qld 4072, Australia</t>
  </si>
  <si>
    <t>University of Queensland</t>
  </si>
  <si>
    <t>Gasparon, M (corresponding author), Univ Queensland, Dept Earth Sci, St Lucia, Qld 4072, Australia.</t>
  </si>
  <si>
    <t>0943-0105</t>
  </si>
  <si>
    <t>ENVIRON GEOL</t>
  </si>
  <si>
    <t>Environ. Geol.</t>
  </si>
  <si>
    <t>10.1007/s002540050336</t>
  </si>
  <si>
    <t>Environmental Sciences; Geosciences, Multidisciplinary; Water Resources</t>
  </si>
  <si>
    <t>Environmental Sciences &amp; Ecology; Geology; Water Resources</t>
  </si>
  <si>
    <t>150NW</t>
  </si>
  <si>
    <t>WOS:000077672200002</t>
  </si>
  <si>
    <t>Adams, CJ; Campbell, HJ; Graham, IJ; Mortimer, N</t>
  </si>
  <si>
    <t>Torlesse, Waipapa and Caples suspect terranes of New Zealand: Integrated studies of their geological history in relation to neighbouring terranes</t>
  </si>
  <si>
    <t>EPISODES</t>
  </si>
  <si>
    <t>MEDIAN TECTONIC ZONE; NORTH-ISLAND; OTAGO SCHIST; SOUTH; AGE; ROCKS; METAMORPHISM; EVOLUTION; COMPLEX; ORIGIN</t>
  </si>
  <si>
    <t>The Pacific margin of-eastern Gondwanaland comprises a major Paleozoic-Mesozoic mobile belt at the edge of the Australian-Antarctic Precambrian craton. Recent studies provide new insight into the provenance and locus of sediment depocentres at this margin and their subsequent movement to become major New Zealand suspect terranes (Torlesse, Waipapa and Caples Terranes) prior to Early Cretaceous amalgamation.</t>
  </si>
  <si>
    <t>Inst Geol &amp; Nucl Sci, Lower Hutt, New Zealand; Inst Geol &amp; Nucl Sci, Dunedin, New Zealand</t>
  </si>
  <si>
    <t>GNS Science - New Zealand; GNS Science - New Zealand</t>
  </si>
  <si>
    <t>Adams, CJ (corresponding author), Inst Geol &amp; Nucl Sci, POB 31312, Lower Hutt, New Zealand.</t>
  </si>
  <si>
    <t>Mortimer, Nick/D-5791-2011</t>
  </si>
  <si>
    <t>Mortimer, Nick/0000-0002-6812-3379</t>
  </si>
  <si>
    <t>INT UNION GEOLOGICAL SCIENCES</t>
  </si>
  <si>
    <t>KEYWORTH</t>
  </si>
  <si>
    <t>C/O BRITISH GEOLOGICAL SURVEY, KEYWORTH, NOTTINGHAM, ENGLAND NG12 5GG</t>
  </si>
  <si>
    <t>0705-3797</t>
  </si>
  <si>
    <t>Episodes</t>
  </si>
  <si>
    <t>157TF</t>
  </si>
  <si>
    <t>WOS:000078077200004</t>
  </si>
  <si>
    <t>Watkins, NW; Clilverd, MA; Smith, AJ; Yearby, KH</t>
  </si>
  <si>
    <t>A 25-year record of 10 kHz sferics noise in Antarctica: Implications for tropical lightning levels</t>
  </si>
  <si>
    <t>CIRCUIT</t>
  </si>
  <si>
    <t>We report measured levels of very low frequency (VLF) radio noise at similar to 10 kHz, due to lightning sferics, observed at Halley Station, Antarctica (76 degrees S, 27 degrees W) between 1971 and 1996. The observed VLF noise levels at Halley are a product of the thunderstorm source function and the transfer function for propagation to the receiver in the waveguide formed by the Earth's surface and the ionosphere. Least squares fitting enables us to confirm the characteristic diurnal, annual and semi-annual periodicities found by the present authors in a separate paper. That method and also cross correlation of annual averaged 10 kHz VLF power with sunspot number shows a similar to 4 dB peak-to-peak fluctuation at the similar to 11-year solar cycle period, believed to be due to the influence of EUV flux on the the ionospheric D region. Finally we constrain any linear trend to 1.4 +/- 2.6 dB in 25 years. If a positive trend is present and is interpreted as a change in tropical South American lightning hash rate, it is less than 10 %.</t>
  </si>
  <si>
    <t>British Antarctic Survey, Upper Atmospher Sci Div, Cambridge CB3 0ET, England; Univ Sheffield, Dept Automat Control &amp; Syst Engn, Sheffield S1 3JD, S Yorkshire, England</t>
  </si>
  <si>
    <t>UK Research &amp; Innovation (UKRI); Natural Environment Research Council (NERC); NERC British Antarctic Survey; University of Sheffield</t>
  </si>
  <si>
    <t>Watkins, NW (corresponding author), British Antarctic Survey, Upper Atmospher Sci Div, High Cross,Madingley Rd, Cambridge CB3 0ET, England.</t>
  </si>
  <si>
    <t>Watkins, Nick/GPX-7439-2022; Watkins, Nicholas Wynn/C-5140-2008</t>
  </si>
  <si>
    <t>Watkins, Nick/0000-0003-4484-6588; Watkins, Nicholas Wynn/0000-0003-4484-6588</t>
  </si>
  <si>
    <t>10.1029/1998GL900146</t>
  </si>
  <si>
    <t>143XG</t>
  </si>
  <si>
    <t>WOS:000077282400029</t>
  </si>
  <si>
    <t>Behrendt, JC; Finn, CA; Blankenship, D; Bell, RE</t>
  </si>
  <si>
    <t>Aeromagnetic evidence for a volcanic caldera(?) complex beneath the divide of the West Antarctic Ice Sheet</t>
  </si>
  <si>
    <t>RIFT SYSTEM</t>
  </si>
  <si>
    <t>A 1995-96 aeromagnetic survey over part of the Sinuous Ridge (SR) beneath the West Antarctic Ice Sheet (WAIS) divide shows a 70-km diameter circular pattern of 400-1200-nT anomalies suggesting one of the largest volcanic caldera(?) complexes on earth. Radar-ice-sounding (RIS) shows the northern part of this pattern overlies the SR, and extends south over the Bentley Subglacial Trench (BST). Modeled sources of all but one the caldera(?) anomalies are at the base of &lt; 1-2-km thick ice and their volcanic edifices have been glacially removed. The exception is a 700-m high, 15-km wide volcano producing an 800-nT anomaly over the BST. Intrusion of this volcano beneath 3 km of ice probably resulted in pillow basalt rather than easily removed hyaloclastite erupted beneath thinner ice. The background area (-300 to -500-nT) surrounding the caldera(?) is possibly caused by a shallow Curie isotherm.</t>
  </si>
  <si>
    <t>Univ Colorado, INSTAAR, Boulder, CO 80309 USA; US Geol Survey, Fed Ctr, Denver, CO 80225 USA; Lamont Doherty Earth Observ, Palisades, NY 10964 USA; Univ Texas, Inst Geophys, Austin, TX 78759 USA</t>
  </si>
  <si>
    <t>University of Colorado System; University of Colorado Boulder; United States Department of the Interior; United States Geological Survey; Columbia University; University of Texas System; University of Texas Austin</t>
  </si>
  <si>
    <t>Behrendt, JC (corresponding author), Univ Colorado, INSTAAR, Boulder, CO 80309 USA.</t>
  </si>
  <si>
    <t>Finn, Carol A/HKN-9277-2023; Blankenship, Donald D./G-5935-2010</t>
  </si>
  <si>
    <t>Finn, Carol A/0000-0002-6178-0405;</t>
  </si>
  <si>
    <t>10.1029/1998GL900101</t>
  </si>
  <si>
    <t>WOS:000077282400038</t>
  </si>
  <si>
    <t>Schnetger, B; Muramatsu, Y; Yoshida, S</t>
  </si>
  <si>
    <t>Iodine (and other halogens) in twenty six geological reference materials by ICP-MS and ion chromatography</t>
  </si>
  <si>
    <t>GEOSTANDARDS NEWSLETTER-THE JOURNAL OF GEOSTANDARDS AND GEOANALYSIS</t>
  </si>
  <si>
    <t>iodine; halogens; pyrohydrolysis; ICP-MS; geological reference materials</t>
  </si>
  <si>
    <t>NEUTRON-ACTIVATION ANALYSIS; REFERENCE SAMPLES; ANTARCTIC METEORITES; MASS-SPECTROMETRY; CHLORINE; BROMINE; PYROHYDROLYSIS; FLUORINE; ROCKS; CL</t>
  </si>
  <si>
    <t>Analytical results for iodine in twenty six geological reference materials (RM) are presented. Bromine, fluorine and chlorine were also determined in some samples. Pyrohydrolysis in a heated quartz tube under a wet oxygen flow was used for the separation of the halogens from the matrix and the evolved gas was absorbed in a trap solution. The halogens were measured by ICP-MS and ion chromatography (IC). All four halogens can be collected in the trap solution from one combustion procedure. The analysed samples range in type from igneous rocks to terrestrial and marine sediments. Precision, detection limits, and accuracy are also presented.</t>
  </si>
  <si>
    <t>Univ Oldenburg, Inst Biol &amp; Chem Marine Environm, D-26111 Oldenburg, Germany; Natl Inst Radiol Sci, Environm &amp; Toxicol Sci Grp, Hitachi, Ibaraki 31112, Japan</t>
  </si>
  <si>
    <t>Carl von Ossietzky Universitat Oldenburg; National Institutes for Quantum Science &amp; Technology</t>
  </si>
  <si>
    <t>Univ Oldenburg, Inst Biol &amp; Chem Marine Environm, PO 2503, D-26111 Oldenburg, Germany.</t>
  </si>
  <si>
    <t>b.schnetger@geo.icbm.uni-oldenburg.de</t>
  </si>
  <si>
    <t>Schnetger, Bernhard/0000-0003-1638-3977</t>
  </si>
  <si>
    <t>GEOSTANDARDS</t>
  </si>
  <si>
    <t>VANDOEUVRE NANCY</t>
  </si>
  <si>
    <t>15 RUE NOTRE-DAME-DES-PAUVRES BP 20, 54501 VANDOEUVRE NANCY, FRANCE</t>
  </si>
  <si>
    <t>0150-5505</t>
  </si>
  <si>
    <t>GEOSTANDARD NEWSLETT</t>
  </si>
  <si>
    <t>Geostand. Newsl.</t>
  </si>
  <si>
    <t>10.1111/j.1751-908X.1998.tb00690.x</t>
  </si>
  <si>
    <t>161LA</t>
  </si>
  <si>
    <t>WOS:000078289200002</t>
  </si>
  <si>
    <t>Stojkovic, D</t>
  </si>
  <si>
    <t>Governing the Antarctic.</t>
  </si>
  <si>
    <t>HARVARD INTERNATIONAL LAW JOURNAL</t>
  </si>
  <si>
    <t>HARVARD LAW SCHOOL</t>
  </si>
  <si>
    <t>PUBLICATIONS CTR, CAMBRIDGE, MA 02138 USA</t>
  </si>
  <si>
    <t>0017-8063</t>
  </si>
  <si>
    <t>HARVARD INT LAW J</t>
  </si>
  <si>
    <t>Harv. Int. Law J.</t>
  </si>
  <si>
    <t>WIN</t>
  </si>
  <si>
    <t>Law</t>
  </si>
  <si>
    <t>Government &amp; Law</t>
  </si>
  <si>
    <t>YZ691</t>
  </si>
  <si>
    <t>WOS:000072281100007</t>
  </si>
  <si>
    <t>Ross, M</t>
  </si>
  <si>
    <t>A Rellich-Kondrachov theorem for spiky domains</t>
  </si>
  <si>
    <t>INDIANA UNIVERSITY MATHEMATICS JOURNAL</t>
  </si>
  <si>
    <t>Suppose that Omega subset of R-n is a bounded domain whose boundary can be locally represented as the graph of a (necessarily lower semicontinuous) function with Omega lying below its boundary. We show that if such boundary functions have everywhere defined limits, then, for 1 less than or equal to p &lt; infinity, the Sobolev embedding iota : W-1,W-p(Omega) hooked right arrow L-p(Omega) is compact. If n = 2, then it is sufficient for the boundary functions to have left and right limits everywhere defined; in particular, for n = 2 it is sufficient for partial derivative Omega to be locally connected or to have finite length. The same results hold for bounded domains locally diffeomorphic to such graphical domains, and thus in particular for starlike domains defined by radial functions with the appropriate properties. For n = 3 these results, in greater generality, follow easily from the literature. For n = 2 the key property of the above domains to be established is that locally, after the application of interior diffeomorphisms, their boundaries can be written as the graphs of continuous functions; compactness then follows from standard theorems.</t>
  </si>
  <si>
    <t>Univ Tasmania, Inst Antarctic &amp; So Ocean Studies, Hobart, Tas 7001, Australia</t>
  </si>
  <si>
    <t>University of Tasmania</t>
  </si>
  <si>
    <t>Ross, M (corresponding author), Univ Tasmania, Inst Antarctic &amp; So Ocean Studies, Box 252-77, Hobart, Tas 7001, Australia.</t>
  </si>
  <si>
    <t>INDIANA UNIV MATH JOURNAL</t>
  </si>
  <si>
    <t>BLOOMINGTON</t>
  </si>
  <si>
    <t>SWAIN HALL EAST 222, BLOOMINGTON, IN 47405 USA</t>
  </si>
  <si>
    <t>0022-2518</t>
  </si>
  <si>
    <t>INDIANA U MATH J</t>
  </si>
  <si>
    <t>Indiana Univ. Math. J.</t>
  </si>
  <si>
    <t>Mathematics</t>
  </si>
  <si>
    <t>196VM</t>
  </si>
  <si>
    <t>WOS:000080328700011</t>
  </si>
  <si>
    <t>Ballatore, P; Lanzerotti, LJ; Maclennan, CG</t>
  </si>
  <si>
    <t>Multistation measurements of Pc5 geomagnetic power amplitudes at high latitudes</t>
  </si>
  <si>
    <t>POLAR-CAP; PULSATIONS; CUSP; CLEFT</t>
  </si>
  <si>
    <t>Geomagnetic data from four Antarctic stations, located at -80 corrected geomagnetic (CGM) latitude, have been analyzed. The magnetic local time (MLT) occurrence distributions and seasonal dependence of geomagnetic power levels in the Pc5 frequency band are studied. It is found that the pulsation power can be significantly influenced by the MLT location of the station at the specific UT time considered, regardless of interplanetary conditions or geomagnetic activity. A shift of power amplitudes toward higher values is found during local summer, likely in association with the increased ionospheric conductance. The local dayside summer increase of power relative to the winter condition is higher than on the nightside. This finding is explained by the magnetospheric cusp influence on the production of geomagnetic power.</t>
  </si>
  <si>
    <t>AT&amp;T Bell Labs, Lucent Technol, Murray Hill, NJ 07974 USA</t>
  </si>
  <si>
    <t>Nokia Corporation; Nokia Bell Labs; Alcatel-Lucent; Lucent Technologies; AT&amp;T</t>
  </si>
  <si>
    <t>Ballatore, P (corresponding author), AT&amp;T Bell Labs, Lucent Technol, 600 Mt Ave, Murray Hill, NJ 07974 USA.</t>
  </si>
  <si>
    <t>paola@physics.bell-labs.com</t>
  </si>
  <si>
    <t>A12</t>
  </si>
  <si>
    <t>10.1029/1998JA900035</t>
  </si>
  <si>
    <t>149MD</t>
  </si>
  <si>
    <t>WOS:000077608400027</t>
  </si>
  <si>
    <t>Sinha, RP; Klisch, M; Gröniger, A; Häder, DP</t>
  </si>
  <si>
    <t>Ultraviolet-absorbing/screening substances in cyanobacteria, phytoplankton and macroalgae</t>
  </si>
  <si>
    <t>mycosporine-like amino acids (MAAs); scytonemin; cyanobacteria; phytoplankton; macroalgae; ultraviolet radiation</t>
  </si>
  <si>
    <t>UV-B RADIATION; AMINO-ACID COMPOUNDS; BLUE-GREEN-ALGA; OZONE DEPLETION; ABSORBING COMPOUNDS; MARINE ORGANISMS; NOSTOC-COMMUNE; ANTARCTIC PHYTOPLANKTON; PROROCENTRUM-MICANS; SUNSCREEN PIGMENT</t>
  </si>
  <si>
    <t>Continuous depletion of the stratospheric ozone layer has resulted in an increase in ultraviolet-B (UV-B; 280-315 nm) radiation reaching the Earth's surface. UV radiation has been reported to suppress a number of photochemical and photobiological processes in a wide variety of organisms. However, certain photosynthetic organisms which are exposed simultaneously to visible and UV radiation in their natural environment have developed mechanisms to counteract the damaging effects of UV. Besides repair of UV-induced damage of DNA and accumulation of carotenoids and detoxifying enzymes or radical quenchers and antioxidants, an important mechanism by which organisms prevent UV-induced photodamage is the synthesis of UV-absorbing/screening substances such as mycosporine-like amino acids (MAAs) and the cyanobacterial sheath pigment, scytonemin. This review covers the occurrence of these UV-absorbing/screening compounds in three different classes of organism, namely, cyanobacteria, phytoplankton and macroalgae, and their role in mitigating UV toxicity. (C) 1998 Elsevier Science S.A. All rights reserved.</t>
  </si>
  <si>
    <t>Univ Erlangen Nurnberg, Inst Bot &amp; Pharmazeut Biol, D-91058 Erlangen, Germany</t>
  </si>
  <si>
    <t>Univ Erlangen Nurnberg, Inst Bot &amp; Pharmazeut Biol, Staudtstr 5, D-91058 Erlangen, Germany.</t>
  </si>
  <si>
    <t>dphaeder@biologie.uni-erlangen.de</t>
  </si>
  <si>
    <t>Sinha, Rajeshwar/CAC-2606-2022</t>
  </si>
  <si>
    <t>Sinha, Rajeshwar/0000-0002-0112-6161</t>
  </si>
  <si>
    <t>10.1016/S1011-1344(98)00198-5</t>
  </si>
  <si>
    <t>175FM</t>
  </si>
  <si>
    <t>WOS:000079082700002</t>
  </si>
  <si>
    <t>Neale, PJ; Banaszak, AT; Jarriel, CR</t>
  </si>
  <si>
    <t>Ultraviolet sunscreens in Gymnodinium sanguineum (Dinophyceae):: Mycosporine-like amino acids protect against inhibition of photosynthesis</t>
  </si>
  <si>
    <t>JOURNAL OF PHYCOLOGY</t>
  </si>
  <si>
    <t>biological weighting function; dinoflagellate; fluorescence; photoinhibition; photoprotection; photosystem II; quantum yield</t>
  </si>
  <si>
    <t>BIOLOGICAL WEIGHTING FUNCTION; ANTARCTIC OZONE DEPLETION; UV-ABSORBING COMPOUNDS; GREAT-BARRIER-REEF; CHLOROPHYLL FLUORESCENCE; B RADIATION; ANTHOPLEURA-ELEGANTISSIMA; SPECTRAL IRRADIANCE; PROROCENTRUM-MICANS; SPECIES COMPOSITION</t>
  </si>
  <si>
    <t>Marine phytoplankton are sensitive to inhibition of photosynthesis by solar ultraviolet (UV) radiation, although sensitivity varies, depending on the growth environment. A mechanism suggested to increase resistance to UV inhibition is the accumulation of UV-absorbing compounds, such as the mycosporine-like amino acids (MAAs) found in many marine organisms. However, the effectiveness of these compounds as direct optical screens in microorganisms has remained unclear. The red-tide dinoflagellate Gymnodinium sanguineum Hirasaka accumulates about 14-fold more MAAs (per unit of chlorophyll) in high (76 W.m(-2)) than in low (15 W.m(-2)) growth irradiance. Biological weighting functions were estimated for UV inhibition of photosynthesis and showed that the high-light-grown cultures have lower sensitivity to UV radiation at wavelengths strongly absorbed by the MAAs. The time course of photosynthesis during exposure to UV radiation was measured using pulsed amplitude modulated (PAM) fluorometry and displayed a steady-state level after 15 min of exposure, indicating active repair of damage to the photosynthetic apparatus. Repair was blocked in the presence of the antibiotic streptomycin, yet high-light G. sanguineum remained less sensitive to UV radiation than did low-light cultures. These experiments show that MAAs act as spectrally specific UV/sunscreens in phytoplankton.</t>
  </si>
  <si>
    <t>Smithsonian Environm Res Ctr, Edgewater, MD 21037 USA</t>
  </si>
  <si>
    <t>Smithsonian Institution; Smithsonian Environmental Research Center</t>
  </si>
  <si>
    <t>Neale, PJ (corresponding author), Smithsonian Environm Res Ctr, POB 28, Edgewater, MD 21037 USA.</t>
  </si>
  <si>
    <t>Banaszak, Anastazia Teresa/H-6362-2019; Neale, Patrick/A-3683-2012</t>
  </si>
  <si>
    <t>Banaszak, Anastazia Teresa/0000-0002-6667-3983;</t>
  </si>
  <si>
    <t>PHYCOLOGICAL SOC AMER INC</t>
  </si>
  <si>
    <t>LAWRENCE</t>
  </si>
  <si>
    <t>810 EAST 10TH ST, LAWRENCE, KS 66044 USA</t>
  </si>
  <si>
    <t>0022-3646</t>
  </si>
  <si>
    <t>J PHYCOL</t>
  </si>
  <si>
    <t>J. Phycol.</t>
  </si>
  <si>
    <t>10.1046/j.1529-8817.1998.340928.x</t>
  </si>
  <si>
    <t>Plant Sciences; Marine &amp; Freshwater Biology</t>
  </si>
  <si>
    <t>155VB</t>
  </si>
  <si>
    <t>WOS:000077966100004</t>
  </si>
  <si>
    <t>White, WB; Chen, SC; Peterson, RG</t>
  </si>
  <si>
    <t>The Antarctic circumpolar wave: A beta effect in ocean-atmosphere coupling over the Southern Ocean</t>
  </si>
  <si>
    <t>JOURNAL OF PHYSICAL OCEANOGRAPHY</t>
  </si>
  <si>
    <t>CIRCULATION; TEMPERATURE</t>
  </si>
  <si>
    <t>The Antarctic circumpolar wave (ACW) is a nominal 4-yr climate signal in the ocean-atmosphere systemin the Southern Ocean, propagating eastward at an average speed of 6-8 cm s(-1), composed of two waves taking approximately 8 years to circle the globe. The ACW is characterized by a persistent phase relationship between warm (cool) sea surface temperature (SST) anomalies and poleward (equatorward) meridional surface wind (MSW) anomalies. Recently, White and Chen demonstrated that SST anomalies in the Southern Ocean operate to induce anomalous vortex stretching in the lower troposphere that is balanced by the anomalous meridional advection of planetary vorticity, yielding MSW anomalies as observed. In the present study, the authors seek to understand how this atmospheric response to SST anomalies produces a positive feedback to the ocean (i.e., an anomalous SST tendency displaced eastward of SST anomalies) that both maintains the ACW against dissipation and accounts for its eastward propagation. To achieve this, we couple a global equilibrium climate model for the lower troposphere to a global heat budget model for the upper ocean. In the absence of coupling, the model Antarctic Circumpolar Current (ACC) advects SST anomalies from initial conditions to the east at speeds slower than observed, taking 12-14 years to circle the globe with amplitudes that become insignificant after 6-8 years. In the presence of coupling, eastward speeds of the model ACC are matched by those due to coupling, together yielding a model ACW of a nominal 4-yr period composed of two waves that circle the globe in approximately 8 years, as observed. Feedback from atmosphere to ocean works through the anomalous zonal surface wind response to SST anomalies, yielding poleward Ekman how anomalies in phase with warm SST anomalies. As such, maintenance of the model ACW is achieved through a balance between anomalous meridional Ekman heat advection and anomalous sensible-plus-latent heat loss to the atmosphere. This balance requires the alignment of covarying SST and MSW anomalies to be tilted into the southwest-northeast direction, which accounts for the spiral structure observed in global SST and sea level pressure anomaly patterns around the Southern Ocean. Eastward coupling speeds of the model ACW derive from a beta effect in coupling that displaces a portion of the anomalous meridional Ekman heat advection, and its corresponding anomalous SST tendency, to the east of SST anomalies. Therefore, the ACW is an example of self-organization within the global ocean-atmosphere system, depending upon the spherical shape of the rotating earth for its propagation and the mean meridional SST gradient for its maintenance, and producing a net poleward eddy heat flux in the upper ocean that tends to reduce this mean gradient.</t>
  </si>
  <si>
    <t>White, WB (corresponding author), Univ Calif San Diego, Scripps Inst Oceanog, 8605 La Jolla Dr, La Jolla, CA 92093 USA.</t>
  </si>
  <si>
    <t>wbwhite@ucsd.edu</t>
  </si>
  <si>
    <t>0022-3670</t>
  </si>
  <si>
    <t>J PHYS OCEANOGR</t>
  </si>
  <si>
    <t>J. Phys. Oceanogr.</t>
  </si>
  <si>
    <t>10.1175/1520-0485(1998)028&lt;2345:TACWAB&gt;2.0.CO;2</t>
  </si>
  <si>
    <t>148HN</t>
  </si>
  <si>
    <t>WOS:000077499400001</t>
  </si>
  <si>
    <t>Mura, MP; Agustí, S</t>
  </si>
  <si>
    <t>Increased frequency of dividing cells of a phototrophic species of Cryptophyceae at a frontal structure off the Antarctic Peninsula</t>
  </si>
  <si>
    <t>JOURNAL OF PLANKTON RESEARCH</t>
  </si>
  <si>
    <t>INSITU GROWTH-RATES; PHYTOPLANKTON GROWTH; WEDDELL SEA; ICE-EDGE; POPULATIONS; PRODUCTIVITY; DIVISION; SUMMER; WATERS; ECOSYSTEMS</t>
  </si>
  <si>
    <t>The hypothesis that enhanced phytoplankton growth explained the increase in phytoplankton biomass observed at a frontal structure off the Antarctic Peninsula during the summer of 1993 was examined by analysing the phytoplankton cells undergoing mitosis. The frequency of dividing cells (FDC) of an unidentified phototrophic species of Cryptophyceae, which dominated phytoplankton biomass at the front, varied between 1.2 and 31.6%, with higher percentages associated with the frontal structure. FDC values increased as phytoplankton biomass increased, suggesting that active growth, rather than passive accumulation, was responsible for the enhanced phytoplankton biomass observed. The low temperatures (mean +/- SE = 1.11 +/- 0.52 degrees C) that characterized the Antarctic waters sampled imposed an upper limit to the maximum FDC reached by the Cryptophyceae, but the relationship between FDC and temperature suggests a clear response of the maximal growth rate of this species to small changes in temperature. The stabilization of the water column, resulting in higher light availability and heating of the surface water in this frontal area, appeared to promote the growth of the phototrophic species of Cryptophyceae and emphasizes the importance of mesoscale processes as determinants of phytoplankton growth dynamics.</t>
  </si>
  <si>
    <t>CSIC, Ctr Estudios Avanzados Blanes, Blanes 17300, Girona, Spain</t>
  </si>
  <si>
    <t>Consejo Superior de Investigaciones Cientificas (CSIC); CSIC - Centre d'Estudis Avancats de Blanes (CEAB)</t>
  </si>
  <si>
    <t>Agustí, S (corresponding author), CSIC, Ctr Estudios Avanzados Blanes, Cami Santa Barbara S-N, Blanes 17300, Girona, Spain.</t>
  </si>
  <si>
    <t>Agusti, Susana/G-2864-2017; Agusti, Susana/H-8421-2012</t>
  </si>
  <si>
    <t>Agusti, Susana/0000-0003-0536-7293;</t>
  </si>
  <si>
    <t>OXFORD UNIV PRESS</t>
  </si>
  <si>
    <t>GREAT CLARENDON ST, OXFORD OX2 6DP, ENGLAND</t>
  </si>
  <si>
    <t>0142-7873</t>
  </si>
  <si>
    <t>J PLANKTON RES</t>
  </si>
  <si>
    <t>J. Plankton Res.</t>
  </si>
  <si>
    <t>10.1093/plankt/20.12.2357</t>
  </si>
  <si>
    <t>149VV</t>
  </si>
  <si>
    <t>WOS:000077627700007</t>
  </si>
  <si>
    <t>Miralto, A; Ianora, A; Guglielmo, L; Zagami, G; Buttino, I</t>
  </si>
  <si>
    <t>Egg production and hatching success in the peri-Antarctic copepod Calanus simillimus</t>
  </si>
  <si>
    <t>PLANKTONIC COPEPOD; ACARTIA-TONSA; VIABILITY; HELGOLANDICUS; FECUNDITY; PACIFICUS</t>
  </si>
  <si>
    <t>In situ rates of egg production and hatching success are reported for Ca[anus simillimus, one of the most abundant calanoid species in peri-Antarctic regions, during the Italian 'Italica' cruise in the Straits of Magellan in March-April 1995. Low fecundity (8.6 eggs female(-1) day(-1)) and fecal pellet production (0.8 fecal pellets female(-1) day(-1)) in this period indicate that the species was feeding very poorly. Sixty-six of the 126 females sampled did not produce eggs and 80 of these did not produce any fecal pellets during the 24 h period of incubation. Striking abnormal naupliar and embryonic development was recorded in 81.8% of the eggs spawned. Aberrant eggs did not undergo normal cleavage, and failed to develop to hatching. Deformed nauplii were asymmetrical and presented strong anatomical anomalies in the total body length and number of swimming appendages. These results are discussed in the light of recent findings on the causes of low hatching success in copepods.</t>
  </si>
  <si>
    <t>Staz Zool Anton Dohrn, I-80121 Naples, Italy; Univ Messina, Dipartimento Biol Anim &amp; Ecol Marina, I-98166 Messina, Italy</t>
  </si>
  <si>
    <t>Stazione Zoologica Anton Dohrn di Napoli; University of Messina</t>
  </si>
  <si>
    <t>Miralto, A (corresponding author), Staz Zool Anton Dohrn, Villa Comunale, I-80121 Naples, Italy.</t>
  </si>
  <si>
    <t>Ianora, Adrianna/O-3408-2019; Buttino, Isabella/AAI-3264-2020</t>
  </si>
  <si>
    <t>ZAGAMI, Giacomo/0000-0001-5083-8846; GUGLIELMO, Letterio/0000-0001-7547-8058</t>
  </si>
  <si>
    <t>10.1093/plankt/20.12.2369</t>
  </si>
  <si>
    <t>WOS:000077627700008</t>
  </si>
  <si>
    <t>Prociv, P</t>
  </si>
  <si>
    <t>Health aspects of antarctic tourism</t>
  </si>
  <si>
    <t>JOURNAL OF TRAVEL MEDICINE</t>
  </si>
  <si>
    <t>Univ Queensland, Dept Parasitol, St Lucia, Qld 4072, Australia</t>
  </si>
  <si>
    <t>Prociv, P (corresponding author), Univ Queensland, Dept Parasitol, St Lucia, Qld 4072, Australia.</t>
  </si>
  <si>
    <t>DECKER PERIODICALS INC</t>
  </si>
  <si>
    <t>HAMILTON</t>
  </si>
  <si>
    <t>4 HUGHSON STREET SOUTH PO BOX 620, LCD 1, HAMILTON, ONTARIO L8N 3K7, CANADA</t>
  </si>
  <si>
    <t>1195-1982</t>
  </si>
  <si>
    <t>J TRAVEL MED</t>
  </si>
  <si>
    <t>J. Travel Med.</t>
  </si>
  <si>
    <t>10.1111/j.1708-8305.1998.tb00509.x</t>
  </si>
  <si>
    <t>Public, Environmental &amp; Occupational Health; Infectious Diseases; Medicine, General &amp; Internal</t>
  </si>
  <si>
    <t>Public, Environmental &amp; Occupational Health; Infectious Diseases; General &amp; Internal Medicine</t>
  </si>
  <si>
    <t>248ZP</t>
  </si>
  <si>
    <t>WOS:000083306900009</t>
  </si>
  <si>
    <t>Hagen, W; Kattner, G</t>
  </si>
  <si>
    <t>Lipid metabolism of the Antarctic euphausiid Thysanoessa macrura and its ecological implications</t>
  </si>
  <si>
    <t>NORTH-ATLANTIC KRILL; MIDWATER FOOD WEB; WEDDELL SEA; FATTY-ACIDS; MEGANYCTIPHANES-NORVEGICA; WAX ESTERS; MICRONEKTONIC CRUSTACEA; ZOOPLANKTON COMMUNITY; CALANUS-PROPINQUUS; CALANOIDES-ACUTUS</t>
  </si>
  <si>
    <t>The lipid biochemistry of one of the dominant Antarctic euphausiids, Thysanoessa macrura, was investigated in the Weddell Sea. Ontogenetic stages from furciliae to adults were collected during all seasons. Total lipid contents of these stages ranged from 5.5% to 60.5% of dry mass, with minimum levels in late winter/early spring (October/ November) and maximum levels in autumn (April/May). Accordingly, wax esters, the primary storage lipid in T. macrura, also varied seasonally and reached a mean value of 66.6% of total lipid in autumn. Although lipid reserves are used partly for overwintering, the adults invest considerable amounts of these stores in reproductive processes such as gonad maturation, egg production, and mating in late winter prior to the vernal phytoplankton bloom. Total lipids were dominated by the fatty acids 16:0, 20:5(n-3), and 22:6(n-3), the principal components of the phospholipids. Other important fatty acids were 14:0 and 18:1(n-9), which together with 16:0 prevailed in the wax esters. The alcohol moieties of the wax esters consisted of &gt;90% of the isomers 18:1(n-9) and 18:1(n-7) and of 20:1(n-9). The dominance of 18:1 alcohols in T. macrura is unique among marine plankton. All fatty acids and alcohols exhibited linear relationships with increasing total lipid mass and with total lipid content, irrespective of the developmental stage, sex, region, or season. The fatty acids 16:0, 14:0, and 20:5(n-3) and the two 18:1 fatty alcohol isomers had the highest accumulation rates, which explains their seasonal dominance in the lipid-rich specimens. T. macrura has developed quantitative and qualitative energetic adaptations to cope with the pronounced seasonal variability in feeding conditions and reproductive requirements.</t>
  </si>
  <si>
    <t>Univ Kiel, Inst Polarokol, D-2300 Kiel, Germany; Alfred Wegener Inst Polar &amp; Meeresforsch, D-27515 Bremerhaven, Germany</t>
  </si>
  <si>
    <t>University of Kiel; Helmholtz Association; Alfred Wegener Institute, Helmholtz Centre for Polar &amp; Marine Research</t>
  </si>
  <si>
    <t>Hagen, W (corresponding author), Univ Kiel, Inst Polarokol, Wischhofstr 1-3,Gebaude 12, D-2300 Kiel, Germany.</t>
  </si>
  <si>
    <t>Hagen, Wilhelm/0000-0002-7462-9931</t>
  </si>
  <si>
    <t>AMER SOC LIMNOLOGY OCEANOGRAPHY</t>
  </si>
  <si>
    <t>WACO</t>
  </si>
  <si>
    <t>5400 BOSQUE BLVD, STE 680, WACO, TX 76710-4446 USA</t>
  </si>
  <si>
    <t>148YZ</t>
  </si>
  <si>
    <t>WOS:000077563500012</t>
  </si>
  <si>
    <t>Sands, M; Nicol, S; McMinn, A</t>
  </si>
  <si>
    <t>Fluoride in Antarctic marine crustaceans</t>
  </si>
  <si>
    <t>KRILL EUPHAUSIA-SUPERBA; MEGANYCTIPHANES-NORVEGICA; MOLT CYCLE; DANA; INTEGUMENT; ANIMALS</t>
  </si>
  <si>
    <t>The concentration of fluoride in the body parts of a range of Antarctic crustaceans from a variety of habits was examined with the aim of determining whether fluoride concentration is related to lifestyle or phylogenetic grouping. Euphausiids had the highest overall fluoride concentrations of a range of Antarctic marine crustaceans examined; levels of up to 5477 mu g g(-1) were found in the exoskeleton of Euphausia crystallorophias. Copepods had the lowest fluoride levels (0.87 mu g g(-1) whole-body); some amphipods and mysids also exhibited relatively high fluoride levels. There was no apparent relationship between the lifestyle of the crustaceans and their fluoride level, benthic and pelagic species exhibited both high and low fluoride levels. Fluoride was concentrated in the exoskeleton, but not evenly distributed through it; the exoskeleton of the head, carapace and abdomen contained the highest concentrations of fluoride, followed by the feeding basket and pleopods, and the eyes. The mouthparts of E. superba contained almost 13 000 mu g F g(-1) dry wt. Antarctic krill tail muscle had low levels of fluoride. After long-term (1 to 5 yr) storage in formalin, fluoride was almost completely lost from whole euphausiids.</t>
  </si>
  <si>
    <t>Australian Antarctic Div, Kingston, Tas 7050, Australia; Univ Tasmania, Inst Antarctic &amp; So Ocean Studies, Hobart, Tas 7001, Australia</t>
  </si>
  <si>
    <t>Australian Antarctic Division; University of Tasmania</t>
  </si>
  <si>
    <t>Australian Antarctic Div, Channel Highway, Kingston, Tas 7050, Australia.</t>
  </si>
  <si>
    <t>stephe-nic@antdiv.gov.au</t>
  </si>
  <si>
    <t>McMinn, Andrew/A-9910-2008</t>
  </si>
  <si>
    <t>1432-1793</t>
  </si>
  <si>
    <t>10.1007/s002270050424</t>
  </si>
  <si>
    <t>150GX</t>
  </si>
  <si>
    <t>WOS:000077657100005</t>
  </si>
  <si>
    <t>Kirby, ME; Domack, EW; McClennen, CE</t>
  </si>
  <si>
    <t>Magnetic stratigraphy and sedimentology of Holocene glacial marine deposits in the Palmer Deep, Bellingshausen Sea, Antarctica: implications for climate change?</t>
  </si>
  <si>
    <t>MARINE GEOLOGY</t>
  </si>
  <si>
    <t>Antarctica; Bellingshausen; climate; sedimentology</t>
  </si>
  <si>
    <t>ICE-SHEET; PENINSULA; SHELF; ADVANCE</t>
  </si>
  <si>
    <t>The Palmer Deep is a closed bathymetric depression on the Antarctic Peninsula continental shelf. It contains three separate sub-basins. These basins lie along a northeast-southwest axis with water depths ranging from &gt;1400 m to the southwest (Basins II and m) to just over 1000 m to the northeast (Basin I). Six sediment piston cores were collected from the study region; these cores clearly demonstrate the varied sediment character for each basin. Sediments in Basin I are laminated and thinly bedded consisting of diatomaceous, pelagic/hemipelagic sediments, siliciclastic, terrigenous sediments, and ice rafted, hemipelagic sediments. In concurrence with other investigators, we propose that these laminations and thin beds represent climatically forced productivity cycles. Basin II and Basin m sediments alternate between pelagic/hemipelagic units and bio-siliceous mud turbidites. Correlations between cores are based on their remarkable magnetic susceptibility (MS) records which indicate alternating biogenic (low MS) and siliciclastic thigh MS) dominated sedimentation; the bio-siliceous mud turbidites are characterized by intermediate to low MS values. Cores taken from within the main axis of the basins are expanded ultra-high resolution sections. A core collected on the sill between Basins II and III represents a condensed sediment section and may contain a complete Holocene record of changing paleoenvironments, one that records the transition from a glacial, ice shelf environment to an open marine, Holocene environment. A sharp drop in magnetic susceptibility at mid-core is a common sedimentological feature of each basin. Presently, we favor a climate change hypothesis for this magnetic lithostratigraphic transition which may reflect the termination of the Holocene Hypsithermal and a marked change in productivity dated ca. 2500 years BP. (C) 1998 Elsevier Science B.V. All rights reserved.</t>
  </si>
  <si>
    <t>Syracuse Univ, Dept Geol, Syracuse, NY 13244 USA; Hamilton Coll, Dept Geol, Clinton, NY 13323 USA; Colgate Univ, Dept Geol, Hamilton, NY 13346 USA</t>
  </si>
  <si>
    <t>Syracuse University; Hamilton College; Colgate University</t>
  </si>
  <si>
    <t>Kirby, ME (corresponding author), Syracuse Univ, Dept Geol, Syracuse, NY 13244 USA.</t>
  </si>
  <si>
    <t>0025-3227</t>
  </si>
  <si>
    <t>MAR GEOL</t>
  </si>
  <si>
    <t>Mar. Geol.</t>
  </si>
  <si>
    <t>10.1016/S0025-3227(98)80043-1</t>
  </si>
  <si>
    <t>140VW</t>
  </si>
  <si>
    <t>WOS:000077110200001</t>
  </si>
  <si>
    <t>Wharton, DA</t>
  </si>
  <si>
    <t>Comparison of the biology and freezing tolerance of Panagrolaimus davidi, an Antarctic nematode, from field samples and cultures</t>
  </si>
  <si>
    <t>NEMATOLOGICA</t>
  </si>
  <si>
    <t>distribution; environmental physiology; morphometrics; sex ratio</t>
  </si>
  <si>
    <t>DRONNING-MAUD-LAND; COMMUNITIES; MECHANISMS; NUNATAKS; SOILS</t>
  </si>
  <si>
    <t>Samples of Panagrolaimus davidi, an Antarctic nematode which tolerates intracellular freezing, were collected from Cape Bird, Ross Island and compared with nematodes cultured for nine years. The field distribution of nematodes was patchy and was not correlated with the water content of the sample or the presence of algae. Field-collected nematodes were similar in morphology to those from cultures, although there were differences in morphometrics. Males predominated in field material, whereas cultures contained only parthenogenetic females. The freezing tolerance of field-collected nematodes was similar to those from cultures. Nematodes in culture are thus a valid model for the study of the adaptations involved in the survival of the extreme environmental stresses faced by these animals in their Antarctic habitats.</t>
  </si>
  <si>
    <t>Univ Otago, Dept Zool, Dunedin, New Zealand</t>
  </si>
  <si>
    <t>Wharton, DA (corresponding author), Univ Otago, Dept Zool, POB 56, Dunedin, New Zealand.</t>
  </si>
  <si>
    <t>Wharton, David/0000-0001-6369-4984</t>
  </si>
  <si>
    <t>BRILL ACADEMIC PUBLISHERS</t>
  </si>
  <si>
    <t>PLANTIJNSTRAAT 2, P O BOX 9000, 2300 PA LEIDEN, NETHERLANDS</t>
  </si>
  <si>
    <t>0028-2596</t>
  </si>
  <si>
    <t>Nematologica</t>
  </si>
  <si>
    <t>10.1163/005725998X00050</t>
  </si>
  <si>
    <t>151NY</t>
  </si>
  <si>
    <t>WOS:000077728000005</t>
  </si>
  <si>
    <t>Seppelt, RD; Green, TGA</t>
  </si>
  <si>
    <t>A bryophyte flora for Southern Victoria Land, Antarctica</t>
  </si>
  <si>
    <t>NEW ZEALAND JOURNAL OF BOTANY</t>
  </si>
  <si>
    <t>Antarctica; bryophytes; Southern Victoria Land</t>
  </si>
  <si>
    <t>CONTINENTAL ANTARCTICA; WINDMILL ISLANDS; WILKES-LAND; VEGETATION</t>
  </si>
  <si>
    <t>Eight mosses, Grimmia antarctici, G. plagiopodia, Ceratodon purpureus, Didymodon gelidus, Hennediella heimii, Sarconeurum glaciale, Bryum subrotundifolium, B. pseudotriquetrum, and one hepatic, Cephaloziella exiliflora, are represented in the bryoflora of Southern Victoria Land. Mosses are known from as far south as 84 degrees 42'S. Despite the apparent inhospitability of the environment, significant areas of moss-covered terrain, up to 2.5 ha, are known from Botany Bay in Granite Harbour, from Beaufort Island, and from the Lake Fryxell-Canada Glacier area of the Taylor Valley. Notes on the Antarctic distribution, morphological variation, and associated taxonomic difficulties are provided, together with illustrations of the taxa.</t>
  </si>
  <si>
    <t>Australian Antarctic Div, Kingston, Tas 5000, Australia; Univ Waikato, Dept Sci Biol, Hamilton, New Zealand</t>
  </si>
  <si>
    <t>Australian Antarctic Division; University of Waikato</t>
  </si>
  <si>
    <t>Seppelt, RD (corresponding author), Australian Antarctic Div, Channel Highway, Kingston, Tas 5000, Australia.</t>
  </si>
  <si>
    <t>SIR PUBLISHING</t>
  </si>
  <si>
    <t>WELLINGTON</t>
  </si>
  <si>
    <t>PO BOX 399, WELLINGTON, NEW ZEALAND</t>
  </si>
  <si>
    <t>0028-825X</t>
  </si>
  <si>
    <t>NEW ZEAL J BOT</t>
  </si>
  <si>
    <t>N. Z. J. Bot.</t>
  </si>
  <si>
    <t>153QU</t>
  </si>
  <si>
    <t>WOS:000077844500009</t>
  </si>
  <si>
    <t>Olsson, O</t>
  </si>
  <si>
    <t>Divorce in king penguins: asynchrony, expensive fat storing and ideal free mate choice</t>
  </si>
  <si>
    <t>OIKOS</t>
  </si>
  <si>
    <t>APTENODYTES-PATAGONICUS; FOOD AVAILABILITY; BREEDING CYCLE; DYNAMICS; BEHAVIOR; BIRDS</t>
  </si>
  <si>
    <t>In long-lived and monogamous species, with partners separated between breeding seasons, the previous mate usually returns and waiting is therefore rewarded, thus contributing to mate retention as an adaptive strategy. However, in the long-lived monogamous king penguin, Aptenodytes patagonicus, studied at South Georgia for six years, the overall average divorce rate was as high as 81% (range 76-85%). Outcome of previous breeding attempt had no significant effect on the probability of divorce when all years were pooled, but there was an effect when two years with total breeding failure were excluded. It was obvious that asynchrony in arrival of former mates had strong effect on the probability of divorce. I suggest that the explanation for the high divorce rate in king penguins consists of two parts. (1) Asynchrony in combination with the expensive fat storing hypothesis. At arrival, birds have only about half their maximum body-reserves. and are close to exhaustion of reserves at the end of the fast ashore. Thus, even birds that switched mates, rather than waited, barely endured the period of fasting. This suggests a trade-off between the costs of divorce and the cost of storing thc extra fuel required to endure waiting and thus ensure mate retention. (2) The better option hypothesis in combination with ideal free mate choice. Even among pairs arriving synchronously, greater than or equal to 50% divorced. To explain this. I suggest that many birds, due to the time constraint created by the near-inadequacy of the fat store, had previously bred with a partner of lower quality than it could have obtained and therefore may benefit from divorcing if a higher-quality partner was available. Readiness to switch mate would be enhanced by low search cost and easy access to potential new mates in this non-territorial species. Hence, mate choice would be potentially ideal free in all aspects but arrival time asynchrony and sometimes competition from the previous mate.</t>
  </si>
  <si>
    <t>Uppsala Univ, Dept Zool, S-75236 Uppsala, Sweden; British Antarctic Survey, Cambridge CB3 0ET, England</t>
  </si>
  <si>
    <t>Uppsala University; UK Research &amp; Innovation (UKRI); Natural Environment Research Council (NERC); NERC British Antarctic Survey</t>
  </si>
  <si>
    <t>Olsson, O (corresponding author), Swedish Nat Sci Res Council, Box 7142, SE-10387 Stockholm, Sweden.</t>
  </si>
  <si>
    <t>olof.olsson@nfr.se</t>
  </si>
  <si>
    <t>Olsson, Olof/0000-0002-9479-7609</t>
  </si>
  <si>
    <t>0030-1299</t>
  </si>
  <si>
    <t>1600-0706</t>
  </si>
  <si>
    <t>Oikos</t>
  </si>
  <si>
    <t>10.2307/3546684</t>
  </si>
  <si>
    <t>162MK</t>
  </si>
  <si>
    <t>WOS:000078350500017</t>
  </si>
  <si>
    <t>Harland, R; Pudsey, CJ; Howe, JA; Fitzpatrick, MEJ</t>
  </si>
  <si>
    <t>Recent dinoflagellate cysts in a transect from the Falkland trough to the Weddell Sea, Antarctica</t>
  </si>
  <si>
    <t>PALAEONTOLOGY</t>
  </si>
  <si>
    <t>CIRCUMPOLAR CURRENT; MARINE-SEDIMENTS; ATLANTIC-OCEAN; DRAKE PASSAGE; INDIAN-OCEAN; SCOTIA SEA; WATER; AUSTRALIA; NORTH; FLOW</t>
  </si>
  <si>
    <t>Dinoflagellate cyst analysis has been completed on core-top samples that form a transect from the area of the Falkland Islands to the Weddell Sea, Antarctica. This study is the first to document the distribution of the Recent dinoflagellate cyst thanatocoenosis in the area. All the dinoflagellate cysts recovered are described and at least two species, Dalella chathamense and Selenopemphix antarctica, are recognized as endemic to the southern hemisphere from the results of this study and from previous research. Data presented here reveal a clear latitudinal trend in the cyst distribution such that subdivision into two domains is possible. The first, to the south of 60 degrees S, is characterized by low numbers of cysts, low diversity and the presence of Impagidinium pallidum, Algidasphaeridium? minutum, Pentapharsodinium dalei?, round brown Protoperidinium cysts and Selenopemphix antarctica. The second, to the north of 60 degrees S, is characterized by richer assemblages, higher species diversity and the presence of Dalella chathamense, Impagidinium sphaericum, Nematosphaeropsis labyrinthus and high numbers of Selenopemphix antarctica. This division of the cyst assemblages coincides approximately with the northern winter limit of sea-ice and demonstrates the potential of dinoflagellate cyst analysis in the elucidation of the palaeoceanography of the area using this criterion.</t>
  </si>
  <si>
    <t>DinoData Serv, Nottingham NG13 8AH, England; Univ Sheffield, Dept Earth Sci, Ctr Palynol, Sheffield S3 7HF, S Yorkshire, England; British Antarctic Survey, Cambridge CB3 0ET, England; Univ Plymouth, Dept Geol Sci, Plymouth PL4 8AA, Devon, England</t>
  </si>
  <si>
    <t>University of Sheffield; UK Research &amp; Innovation (UKRI); Natural Environment Research Council (NERC); NERC British Antarctic Survey; University of Plymouth</t>
  </si>
  <si>
    <t>Harland, R (corresponding author), DinoData Serv, 50 Long Acre, Nottingham NG13 8AH, England.</t>
  </si>
  <si>
    <t>BLACKWELL PUBL LTD</t>
  </si>
  <si>
    <t>108 COWLEY RD, OXFORD OX4 1JF, OXON, ENGLAND</t>
  </si>
  <si>
    <t>0031-0239</t>
  </si>
  <si>
    <t>156PW</t>
  </si>
  <si>
    <t>WOS:000078011500001</t>
  </si>
  <si>
    <t>Tshudy, D; Baumiller, TK; Sorhannus, U</t>
  </si>
  <si>
    <t>Morphologic change in the clawed lobster Hoploparia (Nephropidae) from the Cretaceous of Antarctica</t>
  </si>
  <si>
    <t>PALEOBIOLOGY</t>
  </si>
  <si>
    <t>STRATIGRAPHY; GRADUALISM; LINEAGE; ISLAND; STASIS</t>
  </si>
  <si>
    <t>Antarctic Hoploparia exhibit morphologic changes upsection in a stratigraphic record considered to be long (approximately 15 m.y.) and free of major hiatuses. Five characters exhibit change upsection, and the overall morphologies of the geologically oldest and youngest lobsters are different. The observed patterns could be the result of either phyletic evolution or gradual invasion of one or more species into the range of the original species. The most parsimonious interpretation of the data argues against the invasion hypothesis but supports the phyletic evolution hypothesis.</t>
  </si>
  <si>
    <t>Edinboro Univ Penn, Dept Geosci, Edinboro, PA 16444 USA; Univ Michigan, Museum Paleontol, Ann Arbor, MI 48109 USA; Edinboro Univ Penn, Dept Biol, Edinboro, PA 16444 USA</t>
  </si>
  <si>
    <t>Pennsylvania State System of Higher Education (PASSHE); Edinboro University; University of Michigan System; University of Michigan; Pennsylvania State System of Higher Education (PASSHE); Edinboro University</t>
  </si>
  <si>
    <t>Tshudy, D (corresponding author), Edinboro Univ Penn, Dept Geosci, Edinboro, PA 16444 USA.</t>
  </si>
  <si>
    <t>Baumiller, Tomasz K/C-3596-2012</t>
  </si>
  <si>
    <t>Baumiller, Tomasz K/0000-0002-4506-9330</t>
  </si>
  <si>
    <t>PALEONTOLOGICAL SOC INC</t>
  </si>
  <si>
    <t>0094-8373</t>
  </si>
  <si>
    <t>Paleobiology</t>
  </si>
  <si>
    <t>10.1017/S0094837300019977</t>
  </si>
  <si>
    <t>Biodiversity Conservation; Ecology; Evolutionary Biology; Paleontology</t>
  </si>
  <si>
    <t>Biodiversity &amp; Conservation; Environmental Sciences &amp; Ecology; Evolutionary Biology; Paleontology</t>
  </si>
  <si>
    <t>YX590</t>
  </si>
  <si>
    <t>WOS:000072055800005</t>
  </si>
  <si>
    <t>Schuur, CL; Coffin, MF; Frohlich, C; Massell, CG; Karner, GD; Ramsay, D; Caress, DW</t>
  </si>
  <si>
    <t>Sedimentary regimes at the Macquarie Ridge Complex: Interaction of Southern Ocean circulation and plate boundary bathymetry</t>
  </si>
  <si>
    <t>PALEOCEANOGRAPHY</t>
  </si>
  <si>
    <t>ANTARCTIC CIRCUMPOLAR CURRENT; SOUTHWEST PACIFIC-OCEAN; NEW-ZEALAND; MANGANESE NODULES; ALPINE FAULT; TASMAN SEA; FOCAL MECHANISMS; NORTH-ATLANTIC; ISLAND; EARTHQUAKE</t>
  </si>
  <si>
    <t>Seafloor structure at the Macquarie Ridge Complex strongly influences the intensity and circulation pattern of ocean currents south of New Zealand. New marine geophysical data show heterogeneous sedimentary environments on Macquarie seafloor that reflect interaction of highly variable bathymetry with the Antarctic Circumpolar Current and north flowing Antarctic Bottom Water. Acoustic backscatter, bathymetry, and seismic reflection data collected aboard RN Rig Seismic in 1994 show five bathymetrically constrained sedimentary provinces flanking the ridge complex: (1) northwest Macquarie hemipelagic drifts, (2) current-modified Solander submarine fan complex, (3) southwest Macquarie manganese nodule province, (4) Emerald Basin pelagic drift province, and (5) sediment-free oceanic crust related to the 53.5 degrees S passage in the Macquarie Ridge Complex. The late Miocene-Pliocene opening of a 53.5 degrees S passage in the ridge complex caused a major increase in the intensity of ocean current circulation, sediment reworking, and erosion in all sedimentary provinces.</t>
  </si>
  <si>
    <t>Univ Texas, Inst Geophys, Austin, TX 78759 USA; Columbia Univ, Lamont Doherty Earth Observ, Palisades, NY 10964 USA; Australian Geol Survey Org, Canberra, ACT 2601, Australia; Univ Texas, Dept Geol Sci, Austin, TX 78759 USA</t>
  </si>
  <si>
    <t>University of Texas System; University of Texas Austin; Columbia University; Geoscience Australia; University of Texas System; University of Texas Austin</t>
  </si>
  <si>
    <t>Univ Texas, Inst Geophys, 8701 Mopac Blvd, Austin, TX 78759 USA.</t>
  </si>
  <si>
    <t>laurie@utig.ig.utexas.edu</t>
  </si>
  <si>
    <t>Coffin, Millard F/H-4619-2011; Caress, David W./Q-7173-2019; Frohlich, Cliff/A-8573-2008</t>
  </si>
  <si>
    <t>Coffin, Millard F/0000-0001-9960-0038; Caress, David W./0000-0002-6596-9133;</t>
  </si>
  <si>
    <t>0883-8305</t>
  </si>
  <si>
    <t>1944-9186</t>
  </si>
  <si>
    <t>Paleoceanography</t>
  </si>
  <si>
    <t>10.1029/98PA02357</t>
  </si>
  <si>
    <t>Geosciences, Multidisciplinary; Oceanography; Paleontology</t>
  </si>
  <si>
    <t>149HD</t>
  </si>
  <si>
    <t>WOS:000077598300007</t>
  </si>
  <si>
    <t>Ho, DDM; Grabowski, JJ; Brandon, ST; Tsang, KT; Wong, AY</t>
  </si>
  <si>
    <t>Transfer of free electrons to chlorine and its consequences for mitigating ozone depletion in a computational model of the antarctic stratosphere</t>
  </si>
  <si>
    <t>PHYSICS ESSAYS</t>
  </si>
  <si>
    <t>ozone remediation; negative-ion chemistry; Antarctic ozone hole</t>
  </si>
  <si>
    <t>ION CHEMISTRY; PHOTODETACHMENT; DESTRUCTION</t>
  </si>
  <si>
    <t>Free electrons deposited into the Antarctic stratosphere could suppress catalytic ozone destruction by chlorine. This is because free electrons, at appropriate concentrations, induce Cl- formation, and Cl- does not react with O-3. If the free-electron concentration is greater than 10(9) cm(-3), calculation; on a computational model of the Antarctic stratosphere indicate that more than 80% of the free electrons eventually attach to chlorine and, as a result, ozone depletion during Antarctic spring can be essentially stopped under idealized conditions of no transport. However extending this scheme for large-scale in situ opine remediation may be difficult because of various practical considerations.</t>
  </si>
  <si>
    <t>Univ Calif Lawrence Livermore Natl Lab, Livermore, CA 94550 USA</t>
  </si>
  <si>
    <t>University of California System; United States Department of Energy (DOE); Lawrence Livermore National Laboratory</t>
  </si>
  <si>
    <t>Ho, DDM (corresponding author), Univ Calif Lawrence Livermore Natl Lab, Livermore, CA 94550 USA.</t>
  </si>
  <si>
    <t>PHYSICS ESSAYS PUBLICATION</t>
  </si>
  <si>
    <t>HULL</t>
  </si>
  <si>
    <t>C/O ALFT INC, 189 DEVEAULT ST, UNIT NO. 7, HULL, PQ J8Z1S7, CANADA</t>
  </si>
  <si>
    <t>0836-1398</t>
  </si>
  <si>
    <t>PHYS ESSAYS</t>
  </si>
  <si>
    <t>Phys. Essays</t>
  </si>
  <si>
    <t>10.4006/1.3025337</t>
  </si>
  <si>
    <t>Physics, Multidisciplinary</t>
  </si>
  <si>
    <t>Physics</t>
  </si>
  <si>
    <t>198NE</t>
  </si>
  <si>
    <t>WOS:000080429700010</t>
  </si>
  <si>
    <t>Misic, C; Povero, P; Fabiano, M</t>
  </si>
  <si>
    <t>Relationship between ectoenzymatic activity and availability of organic substrates (Ross Sea, Antarctica): an experimental approach</t>
  </si>
  <si>
    <t>BETA-N-ACETYLGLUCOSAMINIDASE; ICE-EDGE ZONE; WEDDELL SEA; MICROBIAL DECOMPOSITION; SEASONAL-CHANGES; ENZYME-ACTIVITY; EUPHOTIC ZONE; MATTER; PHYTOPLANKTON; WATER</t>
  </si>
  <si>
    <t>Organic matter consumption and decomposition were studied in four experimental systems, having collected different organic substrates in the Boss Sea in December 1994. For the experimental approach selected, processes normally acting on a mixed pool of substances could be separated and the main features of each phenomenon could be focused on. Through the strict relationship between each experimental system and natural conditions shown by organic matter assessment, ectoenzymatic activity trends and their relation with Antarctic water substrates could be described. Through ice melting the water column becomes rich in large pools of substrates, as well as enzyme-producing micro-organisms, capable of quick development. The quantitative predominance of leucine-aminopeptidase throughout the year is well known, but its relative importance seems to decrease when, owing to production events, the environment is enriched with autotrophic- and heterotrophic-derived substances, leading to glycolytic enzymes expression. Thus, ectoenzymatic activity is supposed to be one of the factors responsible for organic matter variations, showing quantitative and qualitative changes depending on substrate availability.</t>
  </si>
  <si>
    <t>Univ Genoa, Ist Sci Ambientali Marine, I-16038 Genoa, Italy</t>
  </si>
  <si>
    <t>Misic, C (corresponding author), Univ Genoa, Ist Sci Ambientali Marine, Viale Benedetto XV,5, I-16132 Genoa, Italy.</t>
  </si>
  <si>
    <t>isamgel@unige.it</t>
  </si>
  <si>
    <t>MISIC, CRISTINA/0000-0002-2577-1800</t>
  </si>
  <si>
    <t>10.1007/s003000050316</t>
  </si>
  <si>
    <t>145GV</t>
  </si>
  <si>
    <t>WOS:000077363400001</t>
  </si>
  <si>
    <t>García-Alvarez, O; Urgorri, V; von Salvini-Plawen, L</t>
  </si>
  <si>
    <t>Dorymenia troncosoi nov. (Mollusca Solenogastres: Proneomeniidae), a new species from the South Shetland Islands (Antarctica)</t>
  </si>
  <si>
    <t>During the Spanish oceanographic expedition BENTART '95, carried out in Antarctic waters off Livingston Island (South Shetland Islands), five small specimens of a new species of Solenogastres-Cavibelonia, Dorymenia troncosoi sp. nov., were collected at a depth of 65-240 m on a silt bottom. The species is characterized by the presence of a pallial cavity with four pouches (a dorsal, two lateral and a ventral pouch), seminal receptacles that open into the spawning ducts through a short duct, radula having 9-11 teeth per row (1 central and 4-5 lateral, all the same size), the end, of the copulatory spicules having a cross-section in the shape of a four-pointed star, and abdominal spicules present. These characteristics separate this species from other species of the genus, particularly from Dorymenia profunda, which is the most similar.</t>
  </si>
  <si>
    <t>Univ Santiago Compostela, Fac Biol, Dept Anim Biol, E-15706 Santiago, Spain; Univ Vienna, Inst Zool, A-1090 Vienna, Austria</t>
  </si>
  <si>
    <t>Universidade de Santiago de Compostela; University of Vienna</t>
  </si>
  <si>
    <t>García-Alvarez, O (corresponding author), Univ Santiago Compostela, Fac Biol, Dept Anim Biol, E-15706 Santiago, Spain.</t>
  </si>
  <si>
    <t>Garcia-Alvarez, Oscar/0000-0001-5363-5913; Urgorri, Victoriano/0000-0001-8261-5145</t>
  </si>
  <si>
    <t>10.1007/s003000050318</t>
  </si>
  <si>
    <t>WOS:000077363400003</t>
  </si>
  <si>
    <t>Márquez, M; Vodopivez, C; Casaux, R; Curtosi, A</t>
  </si>
  <si>
    <t>Metal (Fe, Zn, Mn and Cu) levels in the Antarctic fish Notothenia coriiceps</t>
  </si>
  <si>
    <t>SOUTH SHETLAND ISLANDS; HEAVY-METALS; POTTER COVE; COPPER; MERCURY; TISSUES; ZINC; BAY</t>
  </si>
  <si>
    <t>During the 1994/1995 Antarctic summer 20 Antarctic cod (Notothenia coriiceps) of both sexes were collected at King George Island, South Shetland Islands, Antarctica, to determine the levels of Fe, Zn, Mn and Cu in muscle, liver, gonad and kidney. Metal levels were assessed using the inductively coupled plasma-atomic emission spectrometry (ICP-AES) technique. The levels of Fe, Zn, Mn and Cu observed in both sexes of N. coriiceps were significantly lower in muscle tissue than in liver, kidney and gonad; the livers of males and gonads of females had the highest levels. The differences between the sexes were significant for Zn and Mn in gonads and for Cu in liver. Despite the modest size-range of the specimens, the Cu levels in liver, muscle and kidney were significantly inversely correlated with female mass (P &lt; 0.05) as was gonad Cu level and male body length. Fe mainly presented the highest concentrations and Cu and Mn the lowest ones. Mean muscle metal levels are similar to those of hake, cod, herring and mackerel; however, the level of Fe was slightly higher. Accumulation may occur for Fe, Zn and Mn in liver, kidney and gonad, which have higher levels than those of most prey.</t>
  </si>
  <si>
    <t>Inst Antartico Argentino, RA-1010 Buenos Aires, DF, Argentina</t>
  </si>
  <si>
    <t>Instituto Antartico Argentino</t>
  </si>
  <si>
    <t>Márquez, M (corresponding author), Inst Antartico Argentino, Cerrito 1248, RA-1010 Buenos Aires, DF, Argentina.</t>
  </si>
  <si>
    <t>10.1007/s003000050321</t>
  </si>
  <si>
    <t>WOS:000077363400006</t>
  </si>
  <si>
    <t>Cripps, GC; Clarke, A</t>
  </si>
  <si>
    <t>Seasonal variation in the biochemical composition of particulate material collected by sediment traps at Signy Island, Antarctica</t>
  </si>
  <si>
    <t>PERFORMANCE LIQUID-CHROMATOGRAPHY; SOUTH-ORKNEY ISLANDS; FATTY-ACID COMPOSITION; MARINE-SEDIMENTS; SEA-ICE; LIPID-COMPOSITION; TROPHIC MARKERS; SPRING BLOOM; PHYTOPLANKTON; HYDROCARBONS</t>
  </si>
  <si>
    <t>Particulate material recovered over an 18-month period from sediment traps deployed at a shallow-water nearshore Antarctic site was analysed for photosynthetic pigments, aliphatic hydrocarbons and fatty acids. All components showed a distinct seasonal variation, with high recovery rates during the summer open-water phytoplankton bloom and low rates under winter fast ice. The amount of trapped material differed between the two summers, indicating inter-annual variability of vertical flux associated with differences in the intensity of the summer phytoplankton bloom. Particulate material trapped in summer was dominated by that which originated in diatoms. High recoveries of chlorophyll a, fucoxanthin, n-C-21:6 hydrocarbon, 20:5(n-3) fatty acid and shorter chain (C-15-C-24) aliphatic hydrocarbons all pointed to a significant summer flux of ungrazed diatoms. There were, however, also signals of zooplankton grazing activity (notably pyrophaeophorbide a), and the presence of C18:4(n-3) and C23:6(n-3) fatty acids suggested a small flux of material from flagellates and other sources. Longer chain n-alkanes (C-25-C-34) indicative of nanoplankton were detected all year, but there was no significant deposition of zooplankton material in ally sample. The major recovery rate of photosynthetic pigments was in late summer (February to April), and the major grazing signal occurred after the peak of the summer diatom bloom. Most of the diatom bloom appeared to settle out from the water column without being grazed. The major seasonal contrast in the biochemistry of the trapped material was the dominance of the diatom signature in summer, and in winter the predominance (but at much lower recovery rates) of material from nanoplankton.</t>
  </si>
  <si>
    <t>British Antarctic Survey, Marine Life Sci Div, Cambridge CB3 0ET, England</t>
  </si>
  <si>
    <t>Cripps, GC (corresponding author), British Antarctic Survey, Marine Life Sci Div, High Cross,Madingley Rd, Cambridge CB3 0ET, England.</t>
  </si>
  <si>
    <t>g.cripps@bas.ac.uk</t>
  </si>
  <si>
    <t>10.1007/s003000050323</t>
  </si>
  <si>
    <t>WOS:000077363400008</t>
  </si>
  <si>
    <t>Casaux, R; Baroni, A; Carlini, A</t>
  </si>
  <si>
    <t>The diet of the Antarctic fur seal Arctocephalus gazella at Harmony Point, Nelson Island, South Shetland Islands</t>
  </si>
  <si>
    <t>HEARD ISLAND; WINTER; PREY; GEORGIA; AUTUMN; PETERS</t>
  </si>
  <si>
    <t>The diet of non-breeding male Antarctic fur seals (Arctocephalus gazella) was investigated at Harmony Point, Nelson Island, South Shetland Islands, by the analysis of LX and 33 seats collected during February 1996 and 1997 respectively. Overall, fish were the most frequent prey (74.5%) and predominated by mass (54.4%), whereas krill predominated by number (94.2%). This coincides well with the pattern observed in 1997, but in 1996 krill was the most important prey by number and mass (50.2%). The importance of the remaining taxa represented in the samples (octopods, hyperiids and bivalves) was negligible. Among fish, myctophids represented 85.2% of the fish mass, with Gymnoscopelus nicholsi and Electrona antarctica being the main prey. These two species predominated in 1997, whereas the channichthyid Cryodraco antarcticus and the nototheniid Gobionotothen gibberifrons were dominant in 1996. The importance of the myctophids as prey of the Antarctic fur seal is discussed.</t>
  </si>
  <si>
    <t>Inst Antartico Argentino, RA-1010 Buenos Aires, DF, Argentina; Univ Buenos Aires, Fac Farm &amp; Bioquim, RA-1113 Buenos Aires, DF, Argentina</t>
  </si>
  <si>
    <t>Instituto Antartico Argentino; University of Buenos Aires</t>
  </si>
  <si>
    <t>Casaux, R (corresponding author), Inst Antartico Argentino, Cerrito 1248, RA-1010 Buenos Aires, DF, Argentina.</t>
  </si>
  <si>
    <t>10.1007/s003000050324</t>
  </si>
  <si>
    <t>WOS:000077363400009</t>
  </si>
  <si>
    <t>Licht, KJ; Cunningham, WL; Andrews, JT; Domack, EW; Jennings, AE</t>
  </si>
  <si>
    <t>Establishing chronologies from acid-insoluble organic 14C dates on Antarctic (Ross Sea) and arctic (North Atlantic) marine sediments</t>
  </si>
  <si>
    <t>CONTINENTAL-SHELF DEPOSITS; EASTERN BAFFIN-ISLAND; ICE-SHEET; LAST DEGLACIATION; ICEBERG DISCHARGES; CLIMATE RECORDS; BIOGENIC-SILICA; SOUTHERN-OCEAN; HOLOCENE; RADIOCARBON</t>
  </si>
  <si>
    <t>To compare north and south polar marine paleoenvironments over the last 30,000 years, comparable chronological (radiocarbon) records must be developed and refined, Many areas in the polar regions do not preserve marine carbonates (foraminifera, mollusks), and thus age determinations, of necessity, are based on the acid-insoluble organic (AIO) fraction of the sediment. Although AIO ages are problematic and rarely used in the Arctic, they provide reasonable and consistent chronologies for the Ross Sea, Antarctica. AIO dates are meaningful in the Ross Sea because there are relatively high levels of productivity, good preservation of marine biogenic material in the sediment, and little input of terrigenous sediment and old/dead carbon. Event stratigraphy based upon proxy records of biogenic silica and delta(13)C be used to assess the reliability of dw AIO dates and surface age corrections. Reconstructed time-series of changes in the biogenic silica content of cores from the western Ross Sea show apparent similarities with the 'classic' deglacial climate sequence of the northern North Atlantic. Once the absolute ages of the antarctic AIO dates are constrained by independently dated records to validate surface age corrections, it will be possible to directly compare the timing of events such as ice-rafting events in the sedimentary record.</t>
  </si>
  <si>
    <t>Dept Geol Sci, Boulder, CO 80309 USA; Inst Arctic &amp; Alpine Res, Boulder, CO 80309 USA; Hamilton Coll, Dept Geol, Clinton, NY 13323 USA</t>
  </si>
  <si>
    <t>Hamilton College</t>
  </si>
  <si>
    <t>Licht, KJ (corresponding author), Dept Geol Sci, Campus Box 450, Boulder, CO 80309 USA.</t>
  </si>
  <si>
    <t>Licht, Kathy/0000-0002-2233-2853</t>
  </si>
  <si>
    <t>10.1111/j.1751-8369.1998.tb00272.x</t>
  </si>
  <si>
    <t>174GW</t>
  </si>
  <si>
    <t>WOS:000079027200007</t>
  </si>
  <si>
    <t>Delmas, RJ</t>
  </si>
  <si>
    <t>Ice-core records of global climate and environment changes</t>
  </si>
  <si>
    <t>PROCEEDINGS OF THE INDIAN ACADEMY OF SCIENCES-EARTH AND PLANETARY SCIENCES</t>
  </si>
  <si>
    <t>palaeoclimatology; ice core; Antarctica; Greenland; global change</t>
  </si>
  <si>
    <t>CENTRAL GREENLAND ICE; ATMOSPHERIC METHANE; ANTARCTIC ICE; NITRATE CONCENTRATIONS; HYDROGEN-PEROXIDE; GLACIAL PERIOD; VOSTOK; CYCLE; SUMMIT; DUST</t>
  </si>
  <si>
    <t>Precipitation accumulating on the Greenland and Antarctic ice sheets records several key parameters (temperature, accumulation, composition of atmospheric gases and aerosols) of primary interest for documenting the past global environment over recent climatic cycles and the chemistry of the preindustrial, atmosphere. Several deep ice cores from Antarctica and Greenland have been studied over the last fifteen years. In both hemispheres, temperature records (based on stable isotope measurements in water) show the succession of glacial and interglacial periods. However, detailed features of the climatic stages are not identical in Antarctica and in Greenland. A tight link between global climate and greenhouse gas concentrations was discovered, CO(2) and CH(4) concentrations being lower in glacial conditions by about 80 and 0.3 ppmv, respectively, with respect to their pre-industrial levels of 280 and 0.65 ppmv. Coldest stages are also characterized by higher sea-salt and crustal aerosol concentrations. In Greenland, contrary to Antarctica, ice-age ice is alkaline. Gas-derived aerosol (in particular, sulfate) concentrations are generally higher for glacial periods, but not similar in both the hemispheres. Marine and continental biomass-related species are significant in Antarctica and Greenland ice, respectively. Finally, the growing impact of anthropogenic activities on the atmospheric composition is well recorded in both polar regions for long-lived compounds (in particular greenhouse gases), but mostly in Greenland for short-lived pollutants.</t>
  </si>
  <si>
    <t>Univ Grenoble 1, CNRS, Lab Glaciol &amp; Geophys Environm, F-38402 St Martin Dheres, France</t>
  </si>
  <si>
    <t>Communaute Universite Grenoble Alpes; Universite Grenoble Alpes (UGA); Centre National de la Recherche Scientifique (CNRS)</t>
  </si>
  <si>
    <t>Delmas, RJ (corresponding author), Univ Grenoble 1, CNRS, Lab Glaciol &amp; Geophys Environm, BP 96, F-38402 St Martin Dheres, France.</t>
  </si>
  <si>
    <t>delmas@glaciog.ujf-grenoble.fr</t>
  </si>
  <si>
    <t>INDIAN ACAD SCIENCES</t>
  </si>
  <si>
    <t>BANGALORE</t>
  </si>
  <si>
    <t>C V RAMAN AVENUE, SADASHIVANAGAR, P B #8005, BANGALORE 560 080, INDIA</t>
  </si>
  <si>
    <t>0253-4126</t>
  </si>
  <si>
    <t>P INDIAN AS-EARTH</t>
  </si>
  <si>
    <t>Proc. Indian Acad. Sci.-Earth Planet. Sci</t>
  </si>
  <si>
    <t>176ZF</t>
  </si>
  <si>
    <t>WOS:000079181800008</t>
  </si>
  <si>
    <t>Kotrschal, K; Van Staaden, MJ; Huber, R</t>
  </si>
  <si>
    <t>Fish brains: evolution and environmental relationships</t>
  </si>
  <si>
    <t>REVIEWS IN FISH BIOLOGY AND FISHERIES</t>
  </si>
  <si>
    <t>acoustico-lateralis lobes; bulbus olfactorius; ecomorphology; lobus facialis; lobus vagus; tectum opticum</t>
  </si>
  <si>
    <t>TELEOSTEAN TORUS LONGITUDINALIS; CARP CYPRINUS-CARPIO; TELENCEPHALIC ABLATION; QUANTITATIVE-ANALYSIS; RETINAL TOPOGRAPHY; RUTILUS-RUTILUS; REEF TELEOSTS; VISUAL-SYSTEM; CICHLID FISH; OPTIC TECTUM</t>
  </si>
  <si>
    <t>Fish brains and sensory organs may vary greatly between species. With an estimated total of 25 000 species, fish represent the largest radiation of vertebrates. From the agnathans to the teleosts, they span an enormous taxonomic range and occupy virtually all aquatic habitats. This diversity offers ample opportunity to relate ecology with brains and sensory systems. In a broadly comparative approach emphasizing teleosts, we surveyed 'classical' and more recent contributions on fish brains in search of evolutionary and ecological conditions of central nervous system diversification. By qualitatively and quantitatively comparing closely related species from different habitats, particularly cyprinids and African cichlids, we scanned for patterns of divergence. We examined convergence by comparing distantly related species from similar habitats, intertidal and deep-sea. In particular, we asked how habitats relate to the relative importance of different sensory faculties. Most fishes are predominantly visually orientated. In addition, lateral line and hearing are highly developed in epi- and mesopelagic species as well as in the Antarctic notothenoids. Ln bathypelagics, brain size and the lobes for vision and taste are greatly reduced. Towards shallow water and deep-sea benthic habitats, chemosenses increase in importance and vision may be reduced, particularly in turbid environments. Shallow tropical marine and freshwater reefs (African lakes) enhance visual predominance and appear to exert a considerable selection pressure towards increased size of the (nonolfactory)telencephalon. The development of cognitive skills (spatial learning, problem solving) in fish seems to be associated with visual orientation and well-structured habitats.</t>
  </si>
  <si>
    <t>Univ Vienna, Dept Ethol, Inst Zool, A-4645 Grunau 11, Austria; Konrad Lorenz Forsch Stelle, A-4645 Grunau 11, Austria; Graz Univ, Inst Zool, Dept Physiol, A-8010 Graz, Austria; Bowling Green State Univ, Dept Biol Sci, Bowling Green, OH 43403 USA</t>
  </si>
  <si>
    <t>University of Vienna; University of Graz; University System of Ohio; Bowling Green State University</t>
  </si>
  <si>
    <t>Univ Vienna, Dept Ethol, Inst Zool, A-4645 Grunau 11, Austria.</t>
  </si>
  <si>
    <t>klf.gruenau@telecom.at</t>
  </si>
  <si>
    <t>van Staaden, Moira/0000-0001-8277-5173; Huber, Robert/0000-0001-6122-9210</t>
  </si>
  <si>
    <t>0960-3166</t>
  </si>
  <si>
    <t>1573-5184</t>
  </si>
  <si>
    <t>REV FISH BIOL FISHER</t>
  </si>
  <si>
    <t>Rev. Fish. Biol. Fish.</t>
  </si>
  <si>
    <t>10.1023/A:1008839605380</t>
  </si>
  <si>
    <t>162LP</t>
  </si>
  <si>
    <t>WOS:000078348100001</t>
  </si>
  <si>
    <t>Caddy, JF; Rodhouse, PG</t>
  </si>
  <si>
    <t>Cephalopod and groundfish landings: evidence for ecological change in global fisheries?</t>
  </si>
  <si>
    <t>cephalopods; ecological interactions; global trends; groundfish</t>
  </si>
  <si>
    <t>Cephalopod fisheries are among the few still with some local potential for expansion; in fact, as groundfish landings have declined globally, cephalopod landings have increased. We propose the hypothesis that, although increased cephalopod landings may partly reflect increased market demand, overfishing groundfish stocks has positively affected cephalopod populations. Data from 15 key FAO areas reveal that, with the exception of the north-east Atlantic, cephalopod landings have increased significantly over the last 25 years while groundfish have risen more slowly, remained stable, or declined. In terms of volume, cephalopods have not replaced groundfish. This is hypothesized as owing to the shorter life cycle of cephalopods, and rapid turnover and lower standing stocks than for longer-lived finfish species. Under high fishing pressure, groundfish are probably poor competitors, having less opportunity for spawning and replacement. In West Africa, the Gulf of Thailand and Adriatic there is strong circumstantial evidence that fishing pressure has changed ecological conditions and cephalopod stocks have increased as predatory fish have declined. We recommend that this hypothesis be tested thoroughly in other areas where suitable data exist. Most coastal and shelf cephalopod fisheries are likely to be fully exploited or overexploited and current annual fluctuations in cephalopod landings are probably largely environmentally-driven.</t>
  </si>
  <si>
    <t>British Antarctic Survey, NERC, Cambridge CB3 0ET, England; FAO, Fishery Resources &amp; Environm Div, I-00100 Rome, Italy</t>
  </si>
  <si>
    <t>UK Research &amp; Innovation (UKRI); Natural Environment Research Council (NERC); NERC British Antarctic Survey; Food &amp; Agriculture Organization of the United Nations (FAO)</t>
  </si>
  <si>
    <t>Rodhouse, PG (corresponding author), British Antarctic Survey, NERC, High Cross,Madingley Rd, Cambridge CB3 0ET, England.</t>
  </si>
  <si>
    <t>10.1023/A:1008807129366</t>
  </si>
  <si>
    <t>WOS:000078348100003</t>
  </si>
  <si>
    <t>Edwards, HGM; Holder, JM; Wynn-Williams, DD</t>
  </si>
  <si>
    <t>Comparative FT-Raman spectroscopy of Xanthoria lichen-substratum systems from temperate and Antarctic habitats</t>
  </si>
  <si>
    <t>SOIL BIOLOGY &amp; BIOCHEMISTRY</t>
  </si>
  <si>
    <t>RENAISSANCE FRESCOES; BIODETERIORATION; ENCRUSTATIONS; SPECTRA; OXALATE</t>
  </si>
  <si>
    <t>Lichens have a primary role in the biodeterioration of rock substrata and in soil formation. In extreme Antarctic rock-face habitats, their exposed epilithic growth form makes them vulnerable to environmental stress, especially to increased UVB radiation within the late winter ozone hole. In this study, FT-Raman spectra of intact epilithic samples of the highly-pigmented lichen species Xanthoria elegans and Xanthoria mawsonii from a continental Antarctic habitat in central Victoria Land and Xanthoria parietina from a maritime temperate location in Scotland have been compared. Vibrational assignments have been made for their pigments, based on parietin and an anthraquinone model. Other significant spectral features are assigned to biodegradative secondary metabolites, cellulose and incorporated substratal rock particles. Differential distribution of parietin pigment bands in the profile of an X. elegans thallus is probably related to the high intensity of UV-radiation reaching its Antarctic cold desert surface environment. The significant differences in Raman spectra between epiphytic X. mawsonii and epilithic X. elegans at the same site possibly indicate different biochemical UV survival strategies. In contrast to spectra from other lichen species studied in our laboratories, the Xanthoria in encrustations contain very little calcium oxalate, formed by reaction of oxalic acid with calcareous substrata. The 462 cm(-1) nu(SiO) band of quartz is found in the Raman spectra from both upper and lower su;faces of the lichen encrustations, confirms the physical incorporation of the substratum into the thallus. (C) 1998 Elsevier Science Ltd. All rights reserved.</t>
  </si>
  <si>
    <t>British Antarctic Survey, Cambridge CB3 0ET, England; Univ Bradford, Dept Chem, Mol Spect Grp, Bradford BD7 1DP, W Yorkshire, England</t>
  </si>
  <si>
    <t>UK Research &amp; Innovation (UKRI); Natural Environment Research Council (NERC); NERC British Antarctic Survey; University of Bradford</t>
  </si>
  <si>
    <t>0038-0717</t>
  </si>
  <si>
    <t>1879-3428</t>
  </si>
  <si>
    <t>SOIL BIOL BIOCHEM</t>
  </si>
  <si>
    <t>Soil Biol. Biochem.</t>
  </si>
  <si>
    <t>10.1016/S0038-0717(98)00065-0</t>
  </si>
  <si>
    <t>129HT</t>
  </si>
  <si>
    <t>WOS:000076458300010</t>
  </si>
  <si>
    <t>Ostrovsky, AN</t>
  </si>
  <si>
    <t>The genus Anguisia as a model of a possible origin of erect growth in some Cyclostomatida (Bryozoa)</t>
  </si>
  <si>
    <t>ZOOLOGICAL JOURNAL OF THE LINNEAN SOCIETY</t>
  </si>
  <si>
    <t>stomatoporiforms; new species; Antarctic; budding type; evolution; Crisiidae</t>
  </si>
  <si>
    <t>A representative of the genus Anguisia Jullien, 1882 is recorded for the Southern Ocean for the first time. A detailed description of zooidal and colonial morphology of the new species, Anguisia jullieni, is given with special regard to budding. A mode of budding identical to that in most crisiids is found in fertile erect branches. A possible way that erect branches in crisiids may have evolved by modification of peristomial budding is proposed. (C) 1998 The Linnean Society of London.</t>
  </si>
  <si>
    <t>St Petersburg State Univ, Fac Biol &amp; Soil Sci, Dept Invertebrate Zool, St Petersburg 199034, Russia</t>
  </si>
  <si>
    <t>Saint Petersburg State University</t>
  </si>
  <si>
    <t>Ostrovsky, AN (corresponding author), St Petersburg State Univ, Fac Biol &amp; Soil Sci, Dept Invertebrate Zool, Universitetskaja Nab 7-9, St Petersburg 199034, Russia.</t>
  </si>
  <si>
    <t>Ostrovsky, Andrew/D-6439-2012</t>
  </si>
  <si>
    <t>Ostrovsky, Andrew/0000-0002-3646-9439</t>
  </si>
  <si>
    <t>0024-4082</t>
  </si>
  <si>
    <t>ZOOL J LINN SOC-LOND</t>
  </si>
  <si>
    <t>Zool. J. Linn. Soc.</t>
  </si>
  <si>
    <t>158GJ</t>
  </si>
  <si>
    <t>WOS:000078107400002</t>
  </si>
  <si>
    <t>Variability of ooeciostome shape and position in Antarctic idmidroniform bryozoans (Bryozoa: Cyclostomatida)</t>
  </si>
  <si>
    <t>ZOOLOGISCHER ANZEIGER</t>
  </si>
  <si>
    <t>Exidmonea; Idmidronea; gonozooid; taxonomy; variability; evolution</t>
  </si>
  <si>
    <t>Variability in the shape and position of the ooeciostome in Antarctic idmidroniform cyclostome bryozoans is described in detail. All characters analysed (size and shape of ooeciostome and ooeciopore, ooeciostome position, orientation of ooeciopore) exhibit variability. Therefore, they may be categorized as useful rather than diagnostic taxonomic characters. Recent idmidroniform bryozoans are arranged in a morphoseries reflecting some possible stages in the evolution of the ooeciostome. Possible trends include loss of terminal position, length decrease, increased curvature and flattening. The ooeciostome of Idmidronea fraudulenta Ostrovsky &amp; Taylor, 1996 is studied by SEM for the first time.</t>
  </si>
  <si>
    <t>St Petersburg State Univ, Fac Biol &amp; Soil Sci, Dept Invertebrate Zool, Univ Nab 7-9, St Petersburg 199034, Russia.</t>
  </si>
  <si>
    <t>oan@zisp.spb.su</t>
  </si>
  <si>
    <t>ELSEVIER GMBH, URBAN &amp; FISCHER VERLAG</t>
  </si>
  <si>
    <t>JENA</t>
  </si>
  <si>
    <t>OFFICE JENA, P O BOX 100537, 07705 JENA, GERMANY</t>
  </si>
  <si>
    <t>0044-5231</t>
  </si>
  <si>
    <t>ZOOL ANZ</t>
  </si>
  <si>
    <t>Zool. Anz.</t>
  </si>
  <si>
    <t>163TN</t>
  </si>
  <si>
    <t>WOS:000078422000001</t>
  </si>
  <si>
    <t>Laurion, I; Lean, DRS; Vincent, WF</t>
  </si>
  <si>
    <t>UVB effects on a plankton community: results from a large-scale enclosure assay</t>
  </si>
  <si>
    <t>AQUATIC MICROBIAL ECOLOGY</t>
  </si>
  <si>
    <t>ultraviolet-B; photosynthesis; phytoplankton; enclosure; temperate lake; Ochromonas; grazing; mixotroph</t>
  </si>
  <si>
    <t>ULTRAVIOLET-B RADIATION; MARINE-PHYTOPLANKTON; ANTARCTIC PHYTOPLANKTON; SPECIES COMPOSITION; AQUATIC ECOSYSTEMS; BOREAL LAKES; PHOTOSYNTHESIS; GROWTH; INHIBITION; PHOTOINHIBITION</t>
  </si>
  <si>
    <t>The long-term effects of natural and enhanced ultpaviolet-B (UVB) exposure on picocyanobacteria, size-fractionated chlorophyll a (chl a), primary production (photosynthesis-irradiance parameters) and grazing activity on phytoplankton were investigated over a 20 d period in a mesotrophic lake in central Ontario, Canada. Large volume enclosures (20 000 1) open to the sediments were installed in the Littoral zone and sampled at 6 d intervals. Four radiation treatments were run: UVB-screened giving 0% incident UVB, natural ambient (100% UVB), and 2 lamp-enhanced treatments giving 112% biologically weighted WE (range of 109 to 126% depending on cloud cover) and 118% biologically weighted UVB (114 to 138%). The Light utilization efficiency of the phytoplankton (alpha) decreased under enhanced UVB, but there was no significant decrease in biomass (chl a or cell counts). Populations of the nanoflagellate Ochromonas sp, significantly increased under enhanced UVB; after 20 d the cell concentration of this species was ca 3.6 times higher relative to the natural UVB control. However, differences between treatments in picocyanobacteria, &lt;2 pm chi a, other nanoplanktonic groups, maximum photosynthetic rates, sensitivity to photoinhibition and grazing activity were generally small relative to the variability between duplicate enclosures. These results indicate a low impact of natural and increased levels of incident UVB on the inshore plankton community in this type of lake environment.</t>
  </si>
  <si>
    <t>Univ Laval, Dept Biol, Ste Foy, PQ G1K 7P4, Canada; Univ Laval, Ctr Etud Nord, Ste Foy, PQ G1K 7P4, Canada; Univ Ottawa, Dept Biol, Ottawa, ON K1N 6N5, Canada</t>
  </si>
  <si>
    <t>Laval University; Laval University; University of Ottawa</t>
  </si>
  <si>
    <t>Laurion, I (corresponding author), Univ Innsbruck, Inst Zool &amp; Limnol, Tech Str 25, A-6020 Innsbruck, Austria.</t>
  </si>
  <si>
    <t>isabelle.laurion@uibk.ac.at</t>
  </si>
  <si>
    <t>Vincent, Warwick F/C-9522-2009; Vincent, Warwick/AAH-6152-2019</t>
  </si>
  <si>
    <t>Vincent, Warwick/0000-0001-9055-1938; Laurion, Isabelle/0000-0001-8694-3330</t>
  </si>
  <si>
    <t>0948-3055</t>
  </si>
  <si>
    <t>AQUAT MICROB ECOL</t>
  </si>
  <si>
    <t>Aquat. Microb. Ecol.</t>
  </si>
  <si>
    <t>NOV 27</t>
  </si>
  <si>
    <t>10.3354/ame016189</t>
  </si>
  <si>
    <t>Ecology; Marine &amp; Freshwater Biology; Microbiology</t>
  </si>
  <si>
    <t>Environmental Sciences &amp; Ecology; Marine &amp; Freshwater Biology; Microbiology</t>
  </si>
  <si>
    <t>151NP</t>
  </si>
  <si>
    <t>WOS:000077727000009</t>
  </si>
  <si>
    <t>Murphy, DJ; Vincent, RA</t>
  </si>
  <si>
    <t>Mesospheric momentum fluxes over Adelaide during the 2-day wave: Results and interpretation</t>
  </si>
  <si>
    <t>JOURNAL OF GEOPHYSICAL RESEARCH-ATMOSPHERES</t>
  </si>
  <si>
    <t>GRAVITY-WAVE; MIDDLE ATMOSPHERE; LOWER THERMOSPHERE; SUMMER MESOPAUSE; QUASI-2-DAY WAVE; POKER FLAT; RADAR; AUSTRALIA; PROPAGATION; ALASKA</t>
  </si>
  <si>
    <t>Estimates of the vertical flux of meridional momentum due to waves of periods between 8 min and 1 hour were obtained over a height range of approximately 80 to 94 km while the 2-day wave was active during January 1987. Between 0600 and 1100 LT on the days of the northward phase of the 2-day wave, pulses of momentum-flux density, somewhat larger than the values present at other times, were found. The interpretation of momentum-flux density profiles is considered and the concepts developed are applied to the data presented. It is found that the data are generally not consistent with the expected scenario of breaking upgoing gravity waves. An alternative explanation involving downgoing waves is tendered.</t>
  </si>
  <si>
    <t>Australian Antarctic Div, Atmospher &amp; Space Phys Grp, Kingston, Tas 7050, Australia; Univ Adelaide, Dept Phys &amp; Math Phys, Adelaide, SA 5005, Australia</t>
  </si>
  <si>
    <t>Australian Antarctic Division; University of Adelaide</t>
  </si>
  <si>
    <t>Murphy, DJ (corresponding author), Australian Antarctic Div, Atmospher &amp; Space Phys Grp, Channel Highway, Kingston, Tas 7050, Australia.</t>
  </si>
  <si>
    <t>damian.mur@antdiv.gov.au; rvincent@physics.adelaide.edu.au</t>
  </si>
  <si>
    <t>Vincent, Robert A/E-5450-2013</t>
  </si>
  <si>
    <t>Vincent, Robert A/0000-0001-6559-6544; Murphy, Damian/0000-0003-1738-5560</t>
  </si>
  <si>
    <t>2169-897X</t>
  </si>
  <si>
    <t>2169-8996</t>
  </si>
  <si>
    <t>J GEOPHYS RES-ATMOS</t>
  </si>
  <si>
    <t>J. Geophys. Res.-Atmos.</t>
  </si>
  <si>
    <t>D22</t>
  </si>
  <si>
    <t>10.1029/1998JD200001</t>
  </si>
  <si>
    <t>142JB</t>
  </si>
  <si>
    <t>WOS:000077196200001</t>
  </si>
  <si>
    <t>Doran, PT; Wharton, RA; Des Marais, DJ; McKay, CP</t>
  </si>
  <si>
    <t>Antarctic paleolake sediments and the search for extinct life on Mars</t>
  </si>
  <si>
    <t>JOURNAL OF GEOPHYSICAL RESEARCH-PLANETS</t>
  </si>
  <si>
    <t>COVERED LAKE-HOARE; MARINE-PHYTOPLANKTON; VALLES MARINERIS; ICE; EVOLUTION; CARBON; WATER; FRACTIONATION; DEPOSITS; CLIMATE</t>
  </si>
  <si>
    <t>Evidence of lakes in Mars history is substantial. The proposed similarities between the ancient Martian environment and certain modern environments on Earth have led exobiologists to study antarctic lakes as analogs to those purported to have existed on Mars. We have investigated modern sedimentation processes (especially with respect to delta(13)C of carbonate and organic matter) in lakes in the McMurdo Dry Valleys region df east Antarctica and assessed various paleolake deposits with respect to their utility as Martian analogs and targets for future Mars exobiology missions. Three main types of paleolake deposit were identified and assessed: strand lines, perched deltas, and lacustrine sand mounds. Deltas are usually identified as good targets, but our research shows that authigenic carbonates are not readily identifiable in the sediments. Large deltas, although most likely to attract attention through remote sensing, generally are difficult sites for discovery of paleobiological matter, and delta(13)C signals follow no coherent pattern. Lacustrine sand mounds, on the other hand, contain abundant authigenic carbonate and freeze-dried organic matter and appear to be excellent records of paleolimnological conditions. The advantage of studying lake bottom deposits versus lake edge deposits is retrieval of a stable lake-wide signal. Deltas are therefore most useful in that they are generally large-scale features capable of drawing attention to a region of potential for the discovery of smaller lacustrine sand mounds.</t>
  </si>
  <si>
    <t>Univ Illinois, Dept Earth &amp; Environm Sci, Chicago, IL 60607 USA; NASA, Ames Res Ctr, Moffett Field, CA 94035 USA; Univ Nevada, Desert Res Inst, Ctr Biol Sci, Reno, NV 89506 USA</t>
  </si>
  <si>
    <t>University of Illinois System; University of Illinois Chicago; University of Illinois Chicago Hospital; National Aeronautics &amp; Space Administration (NASA); NASA Ames Research Center; Nevada System of Higher Education (NSHE); Desert Research Institute NSHE; University of Nevada Reno</t>
  </si>
  <si>
    <t>Univ Illinois, Dept Earth &amp; Environm Sci, 845 W Taylor St, Chicago, IL 60607 USA.</t>
  </si>
  <si>
    <t>pdoran@uic.edu; wharton@dri.edu; david_desmarais@qmgate.arc.nasa.gov; mckay@gal.arc.nasa.gov</t>
  </si>
  <si>
    <t>McKay, Christopher/0000-0002-6243-1362</t>
  </si>
  <si>
    <t>2169-9097</t>
  </si>
  <si>
    <t>2169-9100</t>
  </si>
  <si>
    <t>J GEOPHYS RES-PLANET</t>
  </si>
  <si>
    <t>J. Geophys. Res.-Planets</t>
  </si>
  <si>
    <t>NOV 25</t>
  </si>
  <si>
    <t>E12</t>
  </si>
  <si>
    <t>10.1029/98JE01713</t>
  </si>
  <si>
    <t>144AK</t>
  </si>
  <si>
    <t>WOS:000077290100004</t>
  </si>
  <si>
    <t>Askin, RA; Baldoni, AM</t>
  </si>
  <si>
    <t>The Santonian through paleogene record of proteaceae in the southern South America-Antarctic peninsula region</t>
  </si>
  <si>
    <t>AUSTRALIAN SYSTEMATIC BOTANY</t>
  </si>
  <si>
    <t>Proteaceae Symposium</t>
  </si>
  <si>
    <t>UNIV MELBOURNE, MELBOURNE, AUSTRALIA</t>
  </si>
  <si>
    <t>UNIV MELBOURNE</t>
  </si>
  <si>
    <t>JAMES-ROSS-ISLAND; POLLEN MORPHOLOGY; EMBOTHRIEAE PROTEACEAE; SEYMOUR-ISLAND; PALYNOLOGY; STRATIGRAPHY; VEGETATION; SEDIMENTS; AUSTRALIA</t>
  </si>
  <si>
    <t>Proteaceous plants were an important component of the high-latitude Late Cretaceous-Paleogene podocarpaceous conifer and Nothofagus forest vegetation growing in high-rainfall temperate conditions. In the southern South America-Antarctic Peninsula region the fossil record of the Proteaceae comprises pollen, leaves, fruits and wood with affinities to the extant subfamilies Grevilleoideae, Proteoideae, and possibly Carnarvonioideae and Persoonioideae. The oldest reported occurrences of Proteaceae in this region are in the middle-late Santonian of the Antarctic Peninsula and include pollen of Proteacidites subscabratus Couper, with the addition in the Campanian of other species of Proteacidites and Propylipollis, Cranwellipollis spp. and Peninsulapollis spp. Diversity of proteaceous pollen increased through the Campanian and Maastrichtian, reflecting the spread of Proteaceae along the Antarctic Peninsula and into South America. Both endemic species and species derived from the Australian region are represented. Compared to coeval Australian assemblages, however, proteaceous diversity remained relatively low. Interestingly, Beauprea-type species (Beaupreaidites spp., Peninsulapollis spp.) are common and varied in the Antarctic Peninsula from Campanian into the Eocene, yet the South American pollen record does not include these forms, except for rare Peninsulapollis gillii. Possibly drier conditions may have discouraged northward migration of this group. South American fossil proteaceous taxa are primarily related to Grevilleoideae, a trend that continues into the modern flora on that continent.</t>
  </si>
  <si>
    <t>Ohio State Univ, Byrd Polar Res Ctr, Columbus, OH 43210 USA; Direcc Nacl Serv Geol, Buenos Aires, DF, Argentina</t>
  </si>
  <si>
    <t>University System of Ohio; Ohio State University</t>
  </si>
  <si>
    <t>Askin, RA (corresponding author), Ohio State Univ, Byrd Polar Res Ctr, Columbus, OH 43210 USA.</t>
  </si>
  <si>
    <t>C S I R O PUBLICATIONS</t>
  </si>
  <si>
    <t>1030-1887</t>
  </si>
  <si>
    <t>AUST SYST BOT</t>
  </si>
  <si>
    <t>Aust. Syst. Bot.</t>
  </si>
  <si>
    <t>NOV 24</t>
  </si>
  <si>
    <t>10.1071/SB97018</t>
  </si>
  <si>
    <t>Plant Sciences; Evolutionary Biology</t>
  </si>
  <si>
    <t>144WZ</t>
  </si>
  <si>
    <t>WOS:000077339800009</t>
  </si>
  <si>
    <t>King, JC; Varley, MJ; Lachlan-Cope, TA</t>
  </si>
  <si>
    <t>Using satellite thermal infrared imagery to study boundary layer structure in an Antarctic katabatic wind region</t>
  </si>
  <si>
    <t>INTERNATIONAL JOURNAL OF REMOTE SENSING</t>
  </si>
  <si>
    <t>SURFACE WINDS; CONTINENT</t>
  </si>
  <si>
    <t>We use snow surface temperatures obtained from thermal infrared (TIR) satellite imagery, together with radiosonde profiles of free-air temperature and high-resolution topographic data to study the thermal structure of the atmospheric boundary layer in a coastal region of East Antarctica. Surface temperatures over a coastal ice shelf are shown to be significantly lower than those observed on the lower part of the adjoining coastal slopes as a result of the strong surface temperature inversion that forms over the ice shelf. Between 400 and 1500 m elevation the surface temperature lapse rate is close to the dry adiabatic value while the free-air temperature profile is significantly stable over this height range. We argue that this implies that the strength of the surface inversion increases with increasing elevation. Above 1500 m the surface temperature lapse rate becomes significantly superadiabatic and the coldest surface temperatures are found a few 10s of kilometres inland of the highest topography. The technique may prove useful for studying boundary layer structure in other regions of Antarctica where suitable high-resolution topographic data are available.</t>
  </si>
  <si>
    <t>King, JC (corresponding author), British Antarctic Survey, High Cross,Madingley Rd, Cambridge CB3 0ET, England.</t>
  </si>
  <si>
    <t>ONE GUNPOWDER SQUARE, LONDON EC4A 3DE, ENGLAND</t>
  </si>
  <si>
    <t>0143-1161</t>
  </si>
  <si>
    <t>INT J REMOTE SENS</t>
  </si>
  <si>
    <t>Int. J. Remote Sens.</t>
  </si>
  <si>
    <t>NOV 20</t>
  </si>
  <si>
    <t>10.1080/014311698214028</t>
  </si>
  <si>
    <t>Remote Sensing; Imaging Science &amp; Photographic Technology</t>
  </si>
  <si>
    <t>151AN</t>
  </si>
  <si>
    <t>WOS:000077698900010</t>
  </si>
  <si>
    <t>Michelsen, HA; Manney, GL; Gunson, MR; Zander, R</t>
  </si>
  <si>
    <t>Correlations of stratospheric abundances of NOy, O3, N2O, and CH4 derived from ATMOS measurements</t>
  </si>
  <si>
    <t>TOTAL REACTIVE NITROGEN; HALOGEN OCCULTATION EXPERIMENT; NORTH POLAR VORTEX; WINTER 1992 93; ARCTIC STRATOSPHERE; OZONE DEPLETION; ANTARCTIC STRATOSPHERE; 2-DIMENSIONAL MODEL; TROPICAL STRATOSPHERE; AIRCRAFT MEASUREMENTS</t>
  </si>
  <si>
    <t>Correlations are presented for [NOy] relative to [N2O] and [O-3] derived from measurements from the Atmospheric Trace Molecule Spectroscopy (ATMOS) instrument from a wide range of altitudes and latitudes, including the tropics for which previous analyses have not extended above similar to 20 km, Relationships for [O-3] versus [N2O] are also given. The results are shown to be in good agreement with aircraft- and balloon-based observations. Distinct correlations are observed for the tropics, the springtime polar vortex, and the extratropics-extravortex regions, These correlations demonstrate rapid production of NOy and O-3 in the tropical middle stratosphere and episodic export of air from this region to higher latitudes. Isolation of air within the developing polar vortices in the fall is also shown. Arctic vortex data from April 1993 appear to indicate denitrification of 25-30%, which is evident as a 3.0-4.5 ppb deficit in [NOy] when the vortex [NOy]:[N2O] correlation is compared with the extravortex correlation. A mixture of air descended from above 40 km with air from lower altitudes can fully account for this deficit in [NOy], in addition to approximately half of art apparent Arctic ozone loss of 50-60%, as inferred by comparison of the vortex and extravortex [O-3]:[N2O] correlations. Comparison of Antarctic vortex and extravortex correlations from November 1994 similarly show a 60-80% deficit in [NOy] and 80-100% deficit in [O-3]; at least half of this apparent denitrification and ozone loss can be attributed to mixing of air descended from higher altitudes with air from lower altitudes.</t>
  </si>
  <si>
    <t>AER Inc, San Ramon, CA 94583 USA; CALTECH, Jet Prop Lab, Pasadena, CA 91109 USA; Univ Liege, Inst Astrophys &amp; Geophys, B-4000 Liege, Belgium</t>
  </si>
  <si>
    <t>California Institute of Technology; National Aeronautics &amp; Space Administration (NASA); NASA Jet Propulsion Laboratory (JPL); University of Liege</t>
  </si>
  <si>
    <t>Michelsen, HA (corresponding author), AER Inc, 2682 Bishop Dr,Ste 120, San Ramon, CA 94583 USA.</t>
  </si>
  <si>
    <t>ham@aer.com; manney@iguana.jpl.nasa.gov; mrg@caesar.jpl.nasa.gov; zander@atmosfer.astro.ulg.ac.be</t>
  </si>
  <si>
    <t>Manney, Gloria/JED-7207-2023</t>
  </si>
  <si>
    <t>Michelsen, Hope/0000-0001-5802-6615</t>
  </si>
  <si>
    <t>D21</t>
  </si>
  <si>
    <t>10.1029/98JD02850</t>
  </si>
  <si>
    <t>140GF</t>
  </si>
  <si>
    <t>WOS:000077078700023</t>
  </si>
  <si>
    <t>Smyshlyaev, SP; Dvortsov, VL; Geller, MA; Yudin, VA</t>
  </si>
  <si>
    <t>A two-dimensional model with input parameters from a general circulation model: Ozone sensitivity to different formulations for the longitudinal temperature variation</t>
  </si>
  <si>
    <t>WAVE SPECTROSCOPIC MEASUREMENTS; POLAR STRATOSPHERIC CLOUDS; CIVIL TRANSPORT AIRCRAFT; HETEROGENEOUS CHEMISTRY; 2-DIMENSIONAL MODEL; MIDDLE ATMOSPHERE; ANTARCTIC OZONE; SOUTH-POLE; IMPACT; RATES</t>
  </si>
  <si>
    <t>Net heating and temperature derived from the middle atmospheric version of the National Center for Atmospheric Research's Community Climate Model (MA CCM2) history tapes are used to evaluate three different approaches to account for zonal temperature asymmetries in the calculation of gas phase and heterogeneous chemical reaction rate constants and polar stratospheric cloud (PSC) surface area in a two-dimensional chemistry transport model (2-D CTM). The first method uses the daily (and monthly) averaged three-dimensional (3-D) temperature distribution derived from the MA CCM2 to calculate chemical and heterogeneous reaction rates at each 3-D grid point, followed by zonal averaging (pseudo-3-D method). The second method uses 3-D daily temperature statistics from the MA CCM2 to calculate the monthly averaged probability function (stochastic approach). The third method is based on a planetary wave superposition on the zonally averaged temperature (wave approach). The sensitivity of the gas phase reactions to the longitudinal temperature asymmetry is small, while the sensitivity of the heterogeneous reaction rates is comparable to the ozone response to aircraft emissions. All three methods of accounting for longitude temperature asymmetry give similar PSC morphologies in the southern hemisphere, in good agreement with climatological data and independent model calculations. In the northern hemisphere, where the CCM2 winter temperatures at high latitudes are known to be warmer than those observed, the PSCs predicted by the pseudo-3-D and wave methods are much scarcer than those observed or calculated by other authors using climatological temperatures. For the same reason, all other methods employed in the present study failed to predict any PSCs in the northern hemisphere.</t>
  </si>
  <si>
    <t>Russian State Hydrometeorol Inst, St Petersburg, Russia; SUNY Stony Brook, Inst Terr &amp; Planetary Atmospheres, Stony Brook, NY 11794 USA</t>
  </si>
  <si>
    <t>State University of New York (SUNY) System; State University of New York (SUNY) Stony Brook</t>
  </si>
  <si>
    <t>Russian State Hydrometeorol Inst, St Petersburg, Russia.</t>
  </si>
  <si>
    <t>smyshl@meteo.rshmi.spb.ru; mgeller@ccmail.sunysb.edu</t>
  </si>
  <si>
    <t>Smyshlyaev, Sergei/F-1198-2014</t>
  </si>
  <si>
    <t>Smyshlyaev, Sergei/0000-0002-8291-6738</t>
  </si>
  <si>
    <t>10.1029/98JD02354</t>
  </si>
  <si>
    <t>WOS:000077078700025</t>
  </si>
  <si>
    <t>Chipperfield, MP; Pyle, JA</t>
  </si>
  <si>
    <t>Model sensitivity studies of Arctic ozone depletion</t>
  </si>
  <si>
    <t>POLAR VORTEX CONDITIONS; MLS OBSERVATIONS; ANTARCTIC OZONE; WINTER; STRATOSPHERE; HNO3; HOLE; ACID; METEOROLOGY; TROPOSPHERE</t>
  </si>
  <si>
    <t>We have used an off-line chemical transport model (CTM) to diagnose the expected chemical ozone destruction in the Arctic winters of 1993/1994 to 1996/1997, and to investigate the sensitivity of the model-calculated loss to meteorological variability, chlorine and bromine loadings, denitrification, dehydration, and increased stratospheric H2O. The model was integrated on a single isentropic surface at 475 K (about 18 km or 50 hPa altitude) using analyses from the European Centre for Medium-Range Weather Forecasts. The CTM produces local depletions of up to 45% in the polar vortex in the cold winter of 1995/1996. In winter 1996/1997 the large-scale temperatures cold enough for polar stratospheric clouds did not start until early January which delayed chlorine activation. However. because the cold temperatures persisted well into March, the local O-3 depletion in the model vortex was around 40% in late March. The sensitivity experiments using 1994/1995 meteorology show that the chlorine loading is much more important than bromine for controlling the polar ozone loss given the expected abundances, but the ClO + BrO ozone loss cycles are calculated to be more important than ClO + ClO. Accordingly, the local relative efficiency factor we calculate from the model (cr) is large, especially in the polar region where it is around 60 for current day halogen loadings. Denitrification can increase Arctic ozone depletion through a delay in chlorine deactivation. However, very strong denitrification early in the winter causes less O-3 depletion in the model, with the current heterogeneous chemistry scheme, due to enhanced recovery into HCl and inefficient chlorine reactivation. The additional inclusion of dehydration reduces the modeled Arctic O-3 depletion, due to decreased heterogeneous processing rates, and the reduced occurrence of equilibrium nitric acid trihydrate particles. The modeled Arctic O-3 depletion increases slightly (by 2-4% of the initial O-3) using 1994/1995 meteorology when the stratospheric H2O loading is increased. This is due to slightly more polar stratospheric cloud (PSC) activity in this cold winter, although this effect would be potentially more important in a warmer winter where PSC processing was marginal.</t>
  </si>
  <si>
    <t>Univ Cambridge, Dept Chem, Cambridge CB2 1EW, England</t>
  </si>
  <si>
    <t>Univ Cambridge, Dept Chem, Lensfield Rd, Cambridge CB2 1EW, England.</t>
  </si>
  <si>
    <t>martyn@atm.ch.cam.ac.uk</t>
  </si>
  <si>
    <t>Chipperfield, Martyn/H-6359-2013</t>
  </si>
  <si>
    <t>Chipperfield, Martyn/0000-0002-6803-4149</t>
  </si>
  <si>
    <t>10.1029/98JD01960</t>
  </si>
  <si>
    <t>WOS:000077078700026</t>
  </si>
  <si>
    <t>Hopple, JA; Hannon, JE; Coplen, TB</t>
  </si>
  <si>
    <t>Comparison of two stable hydrogen isotope-ratio measurement techniques on Antarctic surface-water and ice samples</t>
  </si>
  <si>
    <t>CHEMICAL GEOLOGY</t>
  </si>
  <si>
    <t>hydrogen isotope ratios; deuterium; platinum; hydrogen isotopes</t>
  </si>
  <si>
    <t>A comparison of the new hydrogen isotope-ratio technique of Vaughn et al. ([Vaughn, B.H., White, J.W.C., Delmotte, M., Trolier, M., Cattani, O., Stievenard, M., 1998. An automated system for hydrogen isotope analysis of water. Chem. Geol. (Isot. Geosci. Sect.), 152, 309-319]; the article immediately preceding this article) for the analysis of water samples utilizing automated on-line reduction by elemental uranium showed that 94% of 165 samples of Antarctic snow, ice, and stream water agreed with the delta(2)H values determined by H-2-H2O platinum equilibration, exhibiting a bias of + 0.5% and a 2 - sigma variation of 1.9%. The isotopic results of 10 reduction technique samples, however, gave delta(2)H values that differed by 3.5% or more, and were too negative by as much as 5.4% anal too positive by as much as 4.9% with respect to those determined using the platinum equilibration technique. Published by Elsevier Science B.V.</t>
  </si>
  <si>
    <t>US Geol Survey, W Trenton, NJ 08628 USA; US Geol Survey, Reston, VA 20192 USA</t>
  </si>
  <si>
    <t>United States Department of the Interior; United States Geological Survey; United States Department of the Interior; United States Geological Survey</t>
  </si>
  <si>
    <t>Hopple, JA (corresponding author), US Geol Survey, 810 Bear Tavern Rd, W Trenton, NJ 08628 USA.</t>
  </si>
  <si>
    <t>jahopple@usgs.gov</t>
  </si>
  <si>
    <t>0009-2541</t>
  </si>
  <si>
    <t>1878-5999</t>
  </si>
  <si>
    <t>CHEM GEOL</t>
  </si>
  <si>
    <t>Chem. Geol.</t>
  </si>
  <si>
    <t>NOV 16</t>
  </si>
  <si>
    <t>10.1016/S0009-2541(98)00118-1</t>
  </si>
  <si>
    <t>137CQ</t>
  </si>
  <si>
    <t>WOS:000076897500007</t>
  </si>
  <si>
    <t>Haine, TWN; Watson, AJ; Liddicoat, MI; Dickson, RR</t>
  </si>
  <si>
    <t>The flow of Antarctic bottom water to the southwest Indian Ocean estimated using CFCs</t>
  </si>
  <si>
    <t>NORTH-ATLANTIC CIRCULATION; WESTERN BOUNDARY CURRENT; WEDDELL SEA DEEP; CARBON-TETRACHLORIDE; EQUATORIAL ATLANTIC; TRANSIENT TRACER; SOUTHERN-OCEAN; ICE SHELF; EXCHANGE; STRATIFICATION</t>
  </si>
  <si>
    <t>Observations of chlorofluorocarbons (CFCs), carbon tetrachloride, temperature, and salinity from five sections following the outflow path of Antarctic Bottom Water (AABW) into the southwest Indian Ocean are reported. The transient tracer data clearly show the plume of recently ventilated water whose hydrographic properties are progressively altered by mixing with the overlying waters. We use the CFC measurements to estimate the mean speeds (or transit times) and mixing rates (or dilutions) of the abyssal flow at each section using simple kinematic circulation models. Given our assumptions, the CFC ventilation age equals the transit time. The results suggest a transit time of 23 +/- 5 years (outflow speed of 1.2 +/- 0.3 cm s(-1)) to the Crozet-Kerguelen Gap with a dilution of 8-15 from the surface waters of the Weddell Sea. The estimated horizontal diffusivity is 30-70 m(2) s(-1), and the vertical diffusivity is 3-7 x 10(-4) m(2) s(-1). Combined with the estimate of R. R. Dickson (unpublished data, 1998) for the AABW transport at this point, we conclude that a volume flux of 0.8-1.6 Sv (10(6) m(3) s(-1)) is leaving the continental shelves of the Weddell Sea to eventually enter the abyssal Indian Ocean past Crozet Island.</t>
  </si>
  <si>
    <t>Univ Oxford, Clarendon Lab, Oxford OX1 3PU, England; Univ E Anglia, Sch Environm Sci, Norwich NR4 7TJ, Norfolk, England; Plymouth Marine Lab, Plymouth PL1 3DH, Devon, England; Lowestoft Lab, Ctr Environm Fisheries &amp; Aquaculture Sci, Lowestoft NR33 0HT, Suffolk, England</t>
  </si>
  <si>
    <t>University of Oxford; University of East Anglia; Plymouth Marine Laboratory; Centre for Environment Fisheries &amp; Aquaculture Science</t>
  </si>
  <si>
    <t>Univ Oxford, Clarendon Lab, Parks Rd, Oxford OX1 3PU, England.</t>
  </si>
  <si>
    <t>T.Haine1@physics.ox.ac.uk; A.J.Watson@uea.ac.uk; R.R.Dickson@cefas.co.uk</t>
  </si>
  <si>
    <t>Haine, Thomas/0000-0001-8231-2419; Watson, Andrew/0000-0002-9654-8147</t>
  </si>
  <si>
    <t>NOV 15</t>
  </si>
  <si>
    <t>C12</t>
  </si>
  <si>
    <t>10.1029/98JC02476</t>
  </si>
  <si>
    <t>139AF</t>
  </si>
  <si>
    <t>WOS:000077004700005</t>
  </si>
  <si>
    <t>Copley, J</t>
  </si>
  <si>
    <t>Fertile waters - Antarctic larvae could monitor tiny changes in climate</t>
  </si>
  <si>
    <t>NEW SCIENTIST</t>
  </si>
  <si>
    <t>Copley, Jon/I-7076-2012</t>
  </si>
  <si>
    <t>Copley, Jon/0000-0003-3333-4325</t>
  </si>
  <si>
    <t>NEW SCIENTIST PUBL EXPEDITING INC</t>
  </si>
  <si>
    <t>ELMONT</t>
  </si>
  <si>
    <t>200 MEACHAM AVE, ELMONT, NY 11003 USA</t>
  </si>
  <si>
    <t>0262-4079</t>
  </si>
  <si>
    <t>NEW SCI</t>
  </si>
  <si>
    <t>New Sci.</t>
  </si>
  <si>
    <t>NOV 14</t>
  </si>
  <si>
    <t>140HD</t>
  </si>
  <si>
    <t>WOS:000077081200025</t>
  </si>
  <si>
    <t>Maldonado, A; Zitellini, N; Leitchenkov, G; Balanyá, JC; Coren, F; Galindo-Zaldívar, J; Lodolo, E; Jabaloy, A; Zanolla, C; Rodríguez-Fernández, J; Vinnikovskaya, O</t>
  </si>
  <si>
    <t>Small ocean basin development along the Scotia-Antarctica plate boundary and in the northern Weddell Sea</t>
  </si>
  <si>
    <t>Weddell Sea; Antarctica; plate boundaries; oceanic basins; multichannel seismics</t>
  </si>
  <si>
    <t>POWELL BASIN; TECTONIC EVOLUTION; PENINSULA; RIDGE; EXTENSION; ISLANDS; GRAVITY; MARGIN</t>
  </si>
  <si>
    <t>The oceanic crust of the northern Weddell Sea and Scotia Sea contains the following principal morphostructural elements: (1) the South Scotia Ridge and the South Orkney Microcontinent, both with continental crust; (2) the oceanic Powell and Jane basins; and (3) Jane Bank, which belongs to an island are. The analysis of MCS profiles and of gravimetric and magnetic data from Russian, Italian and Spanish cruises, supplemented with satellite gravimetric data, has enabled us to determine the relationship between these elements and to propose a model for the main stages of Cenozoic evolution in the area. During the early Cenozoic, the Weddell Sea oceanic crust was subducted under the southern margin of the South Orkney Microcontinent. The subduction probably ended westwards at the South Powell Ridge, a submarine extension of the Antarctic Peninsula. A major transcurrent fault zone is identified in the northwestern Weddell Sea, bounding oceanic crust of Mesozoic and Cenozoic ages. This fault zone was probably active at least to the Miocene. The drifting of the South Orkney Microcontinent from the Antarctic Peninsula during the late Eocene to early Miocene originated the Powell Basin. Jane Basin developed as a backarc, related to the subduction of the Weddell Sea oceanic crust below Jane Bank. The seismic stratigraphy of the depositional sequences in these two basins indicates that spreading In Jane Basin started simultaneously with the end of the opening in Powell Basin. The active spreading ridge of the Weddell Sea collided with the trench and was subducted below Jane Bank at 15-20 Ma. Drifting in Jane Basin and subduction below Jane Bank ended shortly thereafter, in the middle Miocene, and the boundary between the Antarctic/Scotia plates migrated north of the South Orkney Microcontinent, along the South Scotia Ridge. Present tectonic activity in the region is minor. (C) 1998 Elsevier Science B.V. All rights reserved.</t>
  </si>
  <si>
    <t>Univ Granada, Fac Ciencias, Inst Andaluz Ciencias Tierra, CSIC, Granada 18002, Spain; CNR, Inst Geol Marina, I-40129 Bologna, Italy; All Russia Res Inst Geol &amp; Mineral Resources Worl, VNII Okeangeol, St Petersburg 190121, Russia; Univ Granada, Dept Geodinam, E-18071 Granada, Spain; Osservatorio Geofis Sperimentale, I-34016 Trieste, Italy; State Enterprise Marine Arctic Geol Expedit, SE MAGE, Murmansk 183012, Russia</t>
  </si>
  <si>
    <t>University of Granada; Consejo Superior de Investigaciones Cientificas (CSIC); CSIC - Instituto Andaluz de Ciencias de la Tierra (IACT); Consiglio Nazionale delle Ricerche (CNR); A.P. Karpinsky Russian Geological Research Institute (VSEGEI); University of Granada; Istituto Nazionale di Oceanografia e di Geofisica Sperimentale</t>
  </si>
  <si>
    <t>Univ Granada, Fac Ciencias, Inst Andaluz Ciencias Tierra, CSIC, Granada 18002, Spain.</t>
  </si>
  <si>
    <t>amaldona@goliat.ugr.es</t>
  </si>
  <si>
    <t>JABALOY SANCHEZ, ANTONIO/L-2955-2014; Galindo-Zaldivar, Jesus/K-3640-2012; Zitellini, Nevio/N-8202-2015; RODRIGUEZ-FERNANDEZ, JOSE/L-7077-2014</t>
  </si>
  <si>
    <t>JABALOY SANCHEZ, ANTONIO/0000-0001-5830-5913; Galindo-Zaldivar, Jesus/0000-0002-3493-2637; Zitellini, Nevio/0000-0001-9920-8968; Leitchenkov, German/0000-0001-6316-8511; RODRIGUEZ-FERNANDEZ, JOSE/0000-0003-0349-9209; COREN, Franco/0000-0002-7160-1001; Balanya Roure, Juan Carlos/0000-0001-6008-4718; LODOLO, Emanuele/0000-0002-4706-2095</t>
  </si>
  <si>
    <t>NOV 10</t>
  </si>
  <si>
    <t>10.1016/S0040-1951(98)00153-X</t>
  </si>
  <si>
    <t>154BM</t>
  </si>
  <si>
    <t>WOS:000077868200008</t>
  </si>
  <si>
    <t>Roy, CR; Gies, HP; Lugg, DJ; Toomey, S; Tomlinson, DW</t>
  </si>
  <si>
    <t>The measurement of solar ultraviolet radiation</t>
  </si>
  <si>
    <t>MUTATION RESEARCH-FUNDAMENTAL AND MOLECULAR MECHANISMS OF MUTAGENESIS</t>
  </si>
  <si>
    <t>1st Mount Buller International Conference on Environmental Radiation</t>
  </si>
  <si>
    <t>DEC, 1996</t>
  </si>
  <si>
    <t>MOUNT BULLER, AUSTRALIA</t>
  </si>
  <si>
    <t>solar UVR; UVR calibration; spectroradiometer; ozone depletion; dosimetry</t>
  </si>
  <si>
    <t>STRATOSPHERIC OZONE DEPLETION; ROBERTSON-BERGER METER; UV; SURFACE; CLOUDS</t>
  </si>
  <si>
    <t>High skin cancer rates, stratospheric ozone depletion and increased public interest and concern have resulted in a strong demand for solar ultraviolet radiation measurements and information. The Australian Radiation Laboratory (ARL) has been involved since the mid-1980s in the measurement of solar ultraviolet radiation (UVR) using spectroradiometers (SRM) and a network of broadband detectors at 18 sites in Australia and Antarctica and in Singapore through a collaborative agreement with the Singapore Institute of Science and Forensic Medicine. Measurement locations range from equatorial (Singapore, 1.3 degrees N) through tropical (Darwin, 12.4 degrees S) to polar (Mawson, 67.6 degrees S) and as a result there are many difficulties associated with maintenance and calibration of the network detectors, and transfer of data to ensure an accurate and reliable data collection. Calibration procedures for the various detectors involve the comparison with simultaneous spectral measurements using a portable SRM incorporating a double monochromator, calibrated against traceable standard lamps. Laboratory measurements of cosine response and responsivity are also made. Detectors are intercompared at the Yallambie site for a number of months before installation at another location. As an additional check on the calibrations, computer models of solar WR at the earth's surface for days with clear sky and known ozone are compared with the UV radiometer measurements. (C) 1998 Elsevier Science B.V. All rights reserved.</t>
  </si>
  <si>
    <t>Australian Radiat Labs, Yallambie, Vic 3085, Australia; Australian Antarctic Div, Kingston, Tas 7050, Australia</t>
  </si>
  <si>
    <t>Roy, CR (corresponding author), Australian Radiat Labs, Lower Plenty Rd, Yallambie, Vic 3085, Australia.</t>
  </si>
  <si>
    <t>0027-5107</t>
  </si>
  <si>
    <t>MUTAT RES-FUND MOL M</t>
  </si>
  <si>
    <t>Mutat. Res.-Fundam. Mol. Mech. Mutagen.</t>
  </si>
  <si>
    <t>NOV 9</t>
  </si>
  <si>
    <t>10.1016/S0027-5107(98)00180-8</t>
  </si>
  <si>
    <t>Biotechnology &amp; Applied Microbiology; Genetics &amp; Heredity; Toxicology</t>
  </si>
  <si>
    <t>148YM</t>
  </si>
  <si>
    <t>WOS:000077562200002</t>
  </si>
  <si>
    <t>Davidson, AT</t>
  </si>
  <si>
    <t>The impact of UVB radiation on marine plankton</t>
  </si>
  <si>
    <t>UVB; marine plankton; biological impact</t>
  </si>
  <si>
    <t>ULTRAVIOLET-B RADIATION; NATURAL PHYTOPLANKTON ASSEMBLAGES; STRATOSPHERIC OZONE DEPLETION; FATTY-ACID COMPOSITION; ANTARCTIC PHYTOPLANKTON; SPECIES COMPOSITION; SURFACE MICROLAYER; SOUTHERN-OCEAN; COASTAL WATERS; CELL-VOLUME</t>
  </si>
  <si>
    <t>andrew_dav@antdiv.gov.au</t>
  </si>
  <si>
    <t>1873-135X</t>
  </si>
  <si>
    <t>10.1016/S0027-5107(98)00183-3</t>
  </si>
  <si>
    <t>WOS:000077562200015</t>
  </si>
  <si>
    <t>Xu, SC; Zhao, XS</t>
  </si>
  <si>
    <t>Investigation of the reaction of chlorine nitrate on ice surface</t>
  </si>
  <si>
    <t>ACTA PHYSICO-CHIMICA SINICA</t>
  </si>
  <si>
    <t>chlorine nitrate; reaction mechanism; ice surface; ozone hole</t>
  </si>
  <si>
    <t>NITRIC-ACID TRIHYDRATE; HETEROGENEOUS REACTIONS; AB-INITIO; ANTARCTIC STRATOSPHERE; HYDROGEN-CHLORIDE; WATER CLUSTERS; CLONO2; HCL; OZONE; IONIZATION</t>
  </si>
  <si>
    <t>The reactions of ClONO2 with, nH(2)O (n=1,2,3) as model reactions of ClONO2 on ice surface were investigated by theoretical ab initio calculations. In the gas phase, the barrier of the reaction of ClONO2 with H2O is 284.8 kJ.mol(-1) at MP2//HF/6-31G(d) level. The barrier of the reaction is dramatically reduced as the number of water involved in the reaction is increased. The experimental result of the precursor of the product HOCl in the reaction of ClONO2 on ice surface was explained. On the line of multi-molecule-formed transition state (MTS) mechanism, the possibility of hydration further reducing the barrier was discussed. The MTS mechanism can explain all the experimental results up to date.</t>
  </si>
  <si>
    <t>Peking Univ, Dept Chem, Beijing 100871, Peoples R China</t>
  </si>
  <si>
    <t>Peking University</t>
  </si>
  <si>
    <t>Peking Univ, Dept Chem, Beijing 100871, Peoples R China.</t>
  </si>
  <si>
    <t>Zhao, Xiu Song/F-9264-2011</t>
  </si>
  <si>
    <t>Zhao, Xiu Song/0000-0002-1276-5858</t>
  </si>
  <si>
    <t>PEKING UNIV PRESS</t>
  </si>
  <si>
    <t>PEKING UNIV, CHEMISTRY BUILDING, BEIJING 100871, PEOPLES R CHINA</t>
  </si>
  <si>
    <t>1000-6818</t>
  </si>
  <si>
    <t>ACTA PHYS-CHIM SIN</t>
  </si>
  <si>
    <t>Acta Phys.-Chim. Sin.</t>
  </si>
  <si>
    <t>NOV</t>
  </si>
  <si>
    <t>10.3866/PKU.WHXB19981106</t>
  </si>
  <si>
    <t>Chemistry, Physical</t>
  </si>
  <si>
    <t>145YR</t>
  </si>
  <si>
    <t>WOS:000077400300006</t>
  </si>
  <si>
    <t>Boyd, IL</t>
  </si>
  <si>
    <t>Time and energy constraints in pinniped lactation</t>
  </si>
  <si>
    <t>AMERICAN NATURALIST</t>
  </si>
  <si>
    <t>pinniped; evolution; lactation; energetics</t>
  </si>
  <si>
    <t>ANTARCTIC FUR SEALS; SOUTHERN ELEPHANT SEALS; PHOCA-HISPIDA PUPS; HALICHOERUS-GRYPUS; MIROUNGA-ANGUSTIROSTRIS; ARCTOCEPHALUS-GAZELLA; METABOLIC RATES; MASS-TRANSFER; HARP SEAL; CYSTOPHORA-CRISTATA</t>
  </si>
  <si>
    <t>Previous reviews have recognized patterns of lactation in pinnipeds divided along phylogenetic lines. This study extended previous models of lactation in pinnipeds by explicitly taking into account all the energetic costs to mothers. Based on an analysis of time-energy budgets, the feasible lactation strategy for a species can be shown to depend on body mass. Due to increased metabolic costs of maintenance, species with a large body mass cannot normally sustain lactation by foraging during lactation unless they have access to rich local prey resources. Consequently, large pinnipeds must normally sustain lactation from body reserves. This disadvantage is compensated in large pinnipeds by freedom to forage in support of offspring at greater range whereas small pinnipeds are restricted to foraging within the locality of the pupping colony. In the absence of correlations between major life-history variables and body mass in pinnipeds, the principal patterns of lactation are likely to be different solutions to the trade-off between foraging on a relatively rich prey resource at long range and foraging on a poorer prey resource within a restricted range. Hence phylogeny may be less important than adaptation in the evolution of pinniped lactation.</t>
  </si>
  <si>
    <t>Boyd, IL (corresponding author), British Antarctic Survey, NERC, Cambridge CB3 0ET, England.</t>
  </si>
  <si>
    <t>UNIV CHICAGO PRESS</t>
  </si>
  <si>
    <t>CHICAGO</t>
  </si>
  <si>
    <t>5801 S ELLIS AVENUE, CHICAGO, IL 60637 USA</t>
  </si>
  <si>
    <t>0003-0147</t>
  </si>
  <si>
    <t>AM NAT</t>
  </si>
  <si>
    <t>Am. Nat.</t>
  </si>
  <si>
    <t>10.1086/286202</t>
  </si>
  <si>
    <t>Ecology; Evolutionary Biology</t>
  </si>
  <si>
    <t>Environmental Sciences &amp; Ecology; Evolutionary Biology</t>
  </si>
  <si>
    <t>135DP</t>
  </si>
  <si>
    <t>WOS:000076785900006</t>
  </si>
  <si>
    <t>Palo, SE; Portnyagin, YI; Forbes, JM; Makarov, NA; Merzlyakov, EG</t>
  </si>
  <si>
    <t>Transient eastward-propagating long-period waves observed over the South Pole</t>
  </si>
  <si>
    <t>meteorology and atmospheric dynamics; middle atmospheric dynamics; waves and tides</t>
  </si>
  <si>
    <t>ANTARCTIC MESOSPHERE; 12-HOUR OSCILLATION; METEOR RADAR; 4-DAY WAVE; WINTER; INSTABILITY; ATMOSPHERE; MIDDLE</t>
  </si>
  <si>
    <t>Observations of the horizontal wind field over the South Pole were made during 1995 using a meteor radar. These data have revealed the presence of a rich spectrum of waves over the South Pole with a distinct annual occurrence. Included in this spectrum are long-period waves, whose periods are greater than one solar day, which are propagating eastward. These waves exhibit a distinct seasonal occurrence where the envelope of wave periods decreases from a period of 10 days near the fall equinox to a minimum of 2 days near the winter solstice and then progresses towards a period near 10 days at the spring equinox. Computation of the meridional gradient of quasi-geostrophic potential vorticity has revealed a region in the high-latitude upper mesosphere which could support an instability and serve as a source for these waves. Estimation of the wave periods which would be generated from an instability in this region closely resembles the observed seasonal variation in wave periods over the South Pole. These results are consistent with the hypothesis that the observed eastward propagating long-period waves over the South Pole are generated by an instability in the polar upper mesosphere. However, given our limited data set we cannot rule out a stratospheric source. Embedded in this spectrum of eastward propagating waves during the austral winter are a number of distinct wave events. Eight such wave events have been identified and localized using a constant-Q filter bank. The periods of these wave events ranges from 1.7 to 9.8 days and all exist for at least 3 wave periods. Least squares analysis has revealed that a number of these events are inconsistent with a wave propagating zonally around the geographic pole and could be related to waves propagating around a dynamical pole which is offset from the geographic pole. Additionally, one event which was observed appears to be a standing oscillation.</t>
  </si>
  <si>
    <t>Univ Colorado, Boulder, CO 80309 USA; Inst Expt Meteorol, Obninsk, Russia</t>
  </si>
  <si>
    <t>Palo, SE (corresponding author), Univ Colorado, Boulder, CO 80309 USA.</t>
  </si>
  <si>
    <t>Forbes, Jeffrey M/B-7234-2016; Merzlyakov, E G/U-5443-2017</t>
  </si>
  <si>
    <t>Forbes, Jeffrey M/0000-0001-6937-0796; Merzlyakov, E G/0000-0001-8344-5491; PALO, SCOTT/0000-0002-4729-4929</t>
  </si>
  <si>
    <t>10.1007/s00585-998-1486-7</t>
  </si>
  <si>
    <t>142AH</t>
  </si>
  <si>
    <t>WOS:000077177400008</t>
  </si>
  <si>
    <t>De Franceschi, G; Zolesi, B</t>
  </si>
  <si>
    <t>Regional ionospheric mapping and modelling over Antarctica</t>
  </si>
  <si>
    <t>ANNALI DI GEOFISICA</t>
  </si>
  <si>
    <t>ionospheric mapping and modelling; polar cap ionosphere</t>
  </si>
  <si>
    <t>The performance of regional and global models has been investigated when applied for long term mapping of ionospheric characteristics and modelling the Total Electron Content in the polar cap over an Antarctic region. Comparison results between modelled data and a short period of experimental values available for low solar activity in December 1993 and January 1994 are presented and discussed.</t>
  </si>
  <si>
    <t>Ist Nazl Geofis, UO Aeron, I-00143 Rome, Italy</t>
  </si>
  <si>
    <t>Istituto Nazionale Geofisica e Vulcanologia (INGV)</t>
  </si>
  <si>
    <t>De Franceschi, G (corresponding author), Ist Nazl Geofis, UO Aeron, Via Vigna Murata 605, I-00143 Rome, Italy.</t>
  </si>
  <si>
    <t>De Franceschi, Giorgiana/0000-0002-3943-6798</t>
  </si>
  <si>
    <t>EDITRICE COMPOSITORI BOLOGNA</t>
  </si>
  <si>
    <t>BOLOGNA</t>
  </si>
  <si>
    <t>VIA STALINGRADO 97/2, I-40128 BOLOGNA, ITALY</t>
  </si>
  <si>
    <t>0365-2556</t>
  </si>
  <si>
    <t>ANN GEOFIS</t>
  </si>
  <si>
    <t>Ann. Geofis.</t>
  </si>
  <si>
    <t>NOV-DEC</t>
  </si>
  <si>
    <t>5-6</t>
  </si>
  <si>
    <t>174VA</t>
  </si>
  <si>
    <t>WOS:000079055600014</t>
  </si>
  <si>
    <t>Perez, A; Jaque, F</t>
  </si>
  <si>
    <t>On the Antarctic origin of low ozone events at the South American continent during the springs of 1993 and 1994</t>
  </si>
  <si>
    <t>ATMOSPHERIC ENVIRONMENT</t>
  </si>
  <si>
    <t>ozone; stratosphere; trajectory; transport</t>
  </si>
  <si>
    <t>PUNTA-ARENAS; CHILE; HOLE; DEPLETION</t>
  </si>
  <si>
    <t>This paper reports the detection of several low total ozone events at mid-latitudes in the South American continent during the springs of 1993 and 1994. During these ozone depletions the total ozone column reached values as low as 150 Dobson Units at high latitudes (56S). It was found that the temperature of the lower stratosphere for the 450 K isentropic surface decreased with each low ozone event observed, suggesting that masses of ozone poor air were transported from the cold polar vortex to the South American continent. Isentropic back trajectory analyses corroborate the Antarctic origin of the observed low ozone events. (C) 1998 Elsevier Science Ltd. All rights reserved.</t>
  </si>
  <si>
    <t>Univ Autonoma Madrid, Dept Fis Mat 104, Madrid 28007, Spain</t>
  </si>
  <si>
    <t>Autonomous University of Madrid</t>
  </si>
  <si>
    <t>Perez, A (corresponding author), Univ Autonoma Madrid, Dept Fis Mat 104, Madrid 28007, Spain.</t>
  </si>
  <si>
    <t>1352-2310</t>
  </si>
  <si>
    <t>ATMOS ENVIRON</t>
  </si>
  <si>
    <t>Atmos. Environ.</t>
  </si>
  <si>
    <t>10.1016/S1352-2310(98)00087-9</t>
  </si>
  <si>
    <t>124BQ</t>
  </si>
  <si>
    <t>WOS:000076160900005</t>
  </si>
  <si>
    <t>Hall, JS; Wolff, EW</t>
  </si>
  <si>
    <t>Causes of seasonal and daily variations in aerosol sea-salt concentrations at a coastal Antarctic station</t>
  </si>
  <si>
    <t>sea-salt; aerosols; surface brine; Halley research base; ice cores</t>
  </si>
  <si>
    <t>ICE-CORE; SOUTH-POLE; SNOW; ATMOSPHERE; SULFUR; ACCUMULATION; CHEMISTRY; SULFATE; SURFACE; RECORD</t>
  </si>
  <si>
    <t>Two years worth of daily aerosol data has been collected from Halley station, Antarctica, between February 1991 and February 1993. The seasonal cycle of sea-salt aerosol was found to peak during the winter months, with an annual mean of 162 ng m(-3). Specific site characteristics are used to explain this relatively low value. The winter sea-salt source does not appear to be solely due to the presence of open water. Comparison of individual high salt concentration events in the data, with 3 hourly meteorological records, shows that sea-salt loadings are not linked to high wind speeds, but more moderate ones. The high sea-salt loadings are associated with a change in wind direction that opens up an area of water and then switches to bring sea-salt inland. It is hypothesised that the exposed areas of sea water, which are rapidly frozen in winter creating areas of local, freshly formed ice with a surface covering of concentrated brine, are the source of the winter sea-salt. Fractionation of the sea-salt component in individual high concentration events, is used to reinforce the theory that a surface skim of highly saline brine, on fresh ice, is the winter sea-salt source. The presence of frost flowers is thought to aid incorporation of sea-salt into the atmosphere. Implications for the interpretation of sea-salt data in ice cores are highlighted. (C) 1998 Elsevier Science Ltd. All rights reserved.</t>
  </si>
  <si>
    <t>Wolff, Eric W/D-7925-2014</t>
  </si>
  <si>
    <t>Wolff, Eric W/0000-0002-5914-8531</t>
  </si>
  <si>
    <t>1873-2844</t>
  </si>
  <si>
    <t>10.1016/S1352-2310(98)00090-9</t>
  </si>
  <si>
    <t>WOS:000076160900006</t>
  </si>
  <si>
    <t>Derwent, RG; Simmonds, PG; O'Doherty, S; Ryall, DB</t>
  </si>
  <si>
    <t>The impact of the Montreal Protocol on halocarbon concentrations in northern hemisphere baseline and European air masses at Mace Head, Ireland over a ten year period from 1987-1996</t>
  </si>
  <si>
    <t>CFCs; CFC-11; CFC-12; CFC-113; carbon tetrachloride; methyl chloroform; halocarbons; baseline monitoring; long-term trends; European emissions</t>
  </si>
  <si>
    <t>ATMOSPHERIC LIFETIME EXPERIMENT; NITROUS-OXIDE; TRACE GASES; EMISSIONS; TRENDS; CCL3F; TRANSPORT; CH3CCL3; CCL2F2; OZONE</t>
  </si>
  <si>
    <t>The international concern following the discovery of Antarctic stratospheric ozone depletion has prompted unprecedented international action by governments to control the production, sales and usage of a range of ozone-depleting chemicals. These international treaty obligations include the Montreal Protocol and its London and Copenhagen Amendments. They address, amongst many halocarbon species, the chlorofluorocarbons: CFC-11, -12 and -113 and the chlorocarbons: carbon tetrachloride and methyl chloroform. These chemicals have been routinely monitored at the remote, baseline monitoring station at Mace Head on the Atlantic Ocean coast of Ireland as part of the GAGE/AGAGE programme. The available monitoring data for the period 1987-1996 are presented here with a view to confirming the extent of compliance with the above Protocols on a global and European basis. Daily wind direction sectors provided by EMEP are used to sort the halocarbon data into northern hemisphere baseline air and European polluted air masses and trends have been determined for each wind direction sector. Evidence of the European phase-out of halocarbon usage is clearly apparent in the sorted halocarbon concentrations. A simple climatological long-range transport and a sophisticated Lagrangian air parcel dispersion model have been used to interpret the Mace Head halocarbon measurements and to derive estimates of European emission source strengths for each year. These emission source strengths confirm that the phase-out of halocarbon manufacture and sales is being followed in Europe. (C) 1998 Elsevier Science Ltd. All rights reserved.</t>
  </si>
  <si>
    <t>Meteorol Off, Atmospher Proc Res, Bracknell RG12 2SY, Berks, England; Univ Bristol, Sch Chem, Bristol BS8 1TH, Avon, England</t>
  </si>
  <si>
    <t>Met Office - UK; University of Bristol</t>
  </si>
  <si>
    <t>Derwent, RG (corresponding author), Meteorol Off, Atmospher Proc Res, Bracknell RG12 2SY, Berks, England.</t>
  </si>
  <si>
    <t>Derwent, Richard/0000-0003-4498-645X</t>
  </si>
  <si>
    <t>10.1016/S1352-2310(98)00092-2</t>
  </si>
  <si>
    <t>WOS:000076160900008</t>
  </si>
  <si>
    <t>Notebooks survive on Antarctic expedition</t>
  </si>
  <si>
    <t>AUSTRALIAN COMPUTER JOURNAL</t>
  </si>
  <si>
    <t>AUSTRALIAN COMPUTER SOC INC</t>
  </si>
  <si>
    <t>SYDNEY</t>
  </si>
  <si>
    <t>PO BOX Q534, QVB POST OFFICE, SYDNEY, NSW 1230, AUSTRALIA</t>
  </si>
  <si>
    <t>0004-8917</t>
  </si>
  <si>
    <t>AUST COMPUT J</t>
  </si>
  <si>
    <t>Aust. Comput. J.</t>
  </si>
  <si>
    <t>COVER3</t>
  </si>
  <si>
    <t>COVER4</t>
  </si>
  <si>
    <t>Computer Science, Hardware &amp; Architecture</t>
  </si>
  <si>
    <t>Computer Science</t>
  </si>
  <si>
    <t>131LG</t>
  </si>
  <si>
    <t>WOS:000076577100003</t>
  </si>
  <si>
    <t>Edmondson, B</t>
  </si>
  <si>
    <t>Governing the Antarctic: The effectiveness and legitimacy of the Antarctic Treaty System</t>
  </si>
  <si>
    <t>AUSTRALIAN JOURNAL OF POLITICAL SCIENCE</t>
  </si>
  <si>
    <t>Monash Univ, Clayton, Vic 3168, Australia</t>
  </si>
  <si>
    <t>Monash University</t>
  </si>
  <si>
    <t>Edmondson, B (corresponding author), Monash Univ, Clayton, Vic 3168, Australia.</t>
  </si>
  <si>
    <t>CARFAX PUBLISHING</t>
  </si>
  <si>
    <t>BASINGSTOKE</t>
  </si>
  <si>
    <t>RANKINE RD, BASINGSTOKE RG24 8PR, HANTS, ENGLAND</t>
  </si>
  <si>
    <t>1036-1146</t>
  </si>
  <si>
    <t>AUST J POLIT SCI</t>
  </si>
  <si>
    <t>Aust. J. Polit. Sci.</t>
  </si>
  <si>
    <t>Political Science</t>
  </si>
  <si>
    <t>162MQ</t>
  </si>
  <si>
    <t>WOS:000078351100027</t>
  </si>
  <si>
    <t>Huin, N; Sparks, TH</t>
  </si>
  <si>
    <t>Arrival and progression of the Swallow Hirundo rustica through Britain</t>
  </si>
  <si>
    <t>BIRD STUDY</t>
  </si>
  <si>
    <t>MARTINS DELICHON-URBICA; SPRING MIGRANTS; TRENDS; MIGRATION; ENGLAND; BIRDS; SIZE</t>
  </si>
  <si>
    <t>Arrival dates of Swallows from 20 carefully chosen years of the phenological reports of the Royal Meteorological Society (1883-1947) were abstracted. These years represent observations from 1000 different localities in Britain and from between 24 and 325 localities per year. Arrival dates of the Swallow were processed in two different ways: (II using a Geographical Information System, contour maps were produced for each year and compared subjectively; (2) using climatic data from Britain and Europe, between-year variation in average arrival date and in speed of progression through Britain were analysed statistically. Swallows progressed through Britain at an average speed of about 50 km day(-1). In 'early' arrival years, Swallows progressed along a southwest-northeast axis, entering Britain by the southwest (the region receiving the most accumulated heat by April). They travelled faster across Britain in 'late' arrival years along a south-north axis. Arrival dates were earlier during warmer Aprils in Britain and western France, and following a warmer March in Iberia. Although the timing of spring migration of the Swallow is related to European temperatures, the possible future effects of climatic changes may not be predictable because environmental conditions in Africa and changes in population size must also be taken into consideration.</t>
  </si>
  <si>
    <t>NERC, Inst Terr Ecol, Huntingdon PE17 2LS, Cambs, England</t>
  </si>
  <si>
    <t>UK Research &amp; Innovation (UKRI); Natural Environment Research Council (NERC); UK Centre for Ecology &amp; Hydrology (UKCEH)</t>
  </si>
  <si>
    <t>Huin, N (corresponding author), British Antarctic Survey, NERC, High Cross,Madingley Rd, Cambridge CB3 0ET, England.</t>
  </si>
  <si>
    <t>Sparks, Tim/0000-0003-4382-7051</t>
  </si>
  <si>
    <t>BRITISH TRUST ORNITHOLOGY</t>
  </si>
  <si>
    <t>THETFORD NORFOLK</t>
  </si>
  <si>
    <t>NUNNERY, NUNNERY PLACE, THETFORD NORFOLK, ENGLAND IP24 2PU</t>
  </si>
  <si>
    <t>0006-3657</t>
  </si>
  <si>
    <t>Bird Stud.</t>
  </si>
  <si>
    <t>10.1080/00063659809461108</t>
  </si>
  <si>
    <t>142KN</t>
  </si>
  <si>
    <t>WOS:000077199700011</t>
  </si>
  <si>
    <t>Banaszak, AT; Lesser, MP; Kuffner, IB; Ondrusek, M</t>
  </si>
  <si>
    <t>Relationship between ultraviolet (UV) radiation and mycosporine-like amino acids (MAAS) in marine organisms</t>
  </si>
  <si>
    <t>BULLETIN OF MARINE SCIENCE</t>
  </si>
  <si>
    <t>URCHIN STRONGYLOCENTROTUS-DROEBACHIENSIS; ABSORBING COMPOUNDS; WATER MOTION; CORAL; GREEN; REEF; QUANTITATION; PROTECTION; PROTEIN</t>
  </si>
  <si>
    <t>Although only about 5-7% of solar radiation reaching the earth's surface is composed of UV-A (320-400 nm) and UV-B (286-320 nm), the biological significance of these wavelengths is disproportionate due to the higher energy content of quanta in the UV compared to the visible portion of the spectrum (Moseley, 1988). Exposure of shallow-water benthic organisms to high fluxes of solar irradiance requires a trade-off between maintaining high rates of photosynthesis while preventing damage from UV radiation. Biochemical defenses against the effects of UV may include the presence of mycosporine-like amino acids (MAAs) (Dunlap and Shick, 1998 and refs therein). These compounds have been found in a variety of marine organisms spanning from cyanobacteria (Shibata, 1959) to teleosts (Dunlap et al., 1989) and from tropical (Dunlap et al., 1986) to Antarctic waters (Karentz et al., 1991). Some tropical and temperate open ocean waters have low attenuation coefficients of UV and photosynthetically active radiation (PAR, 400-700 nm) due to the low levels of particulates and humic substances which absorb or scatter these wavelengths (Kirk, 1994). In other waters, such as around mangroves and estuaries, dissolved organic matter or gilvin and particulates decrease the transparency of the water column resulting in reduced penetration of PAR and even greater reduction of UV with increasing depth (Kirk, 1994). The purpose of this study was to survey for the presence of MAAs in macrophytes and invertebrates from habitats differing in water quality to determine the relationship between the concentration of these compounds and incident UV radiation.</t>
  </si>
  <si>
    <t>Smithsonian Environm Res Ctr, Edgewater, MD 21037 USA; Univ New Hampshire, Dept Zool, Durham, NH 03824 USA; Ctr Marine Biol, Durham, NH 03824 USA; Univ Hawaii, Hawaii Inst Marine Biol, Kaneohe Bay, HI 96744 USA; Univ Hawaii Manoa, Sch Ocean &amp; Earth Sci &amp; Technol, Honolulu, HI 96822 USA</t>
  </si>
  <si>
    <t>Smithsonian Institution; Smithsonian Environmental Research Center; University System Of New Hampshire; University of New Hampshire; University of Hawaii System; University of Hawaii System; University of Hawaii Manoa</t>
  </si>
  <si>
    <t>Smithsonian Environm Res Ctr, POB 28, Edgewater, MD 21037 USA.</t>
  </si>
  <si>
    <t>banazak@serc.si.edu; mpl@christa.unh.edu; ilsak@hawaii.edu; ondrusek@soest.hawaii.edu</t>
  </si>
  <si>
    <t>Banaszak, Anastazia Teresa/H-6362-2019; Kuffner, Ilsa/A-6416-2008; Ondrusek, Michael/F-5617-2010</t>
  </si>
  <si>
    <t>Banaszak, Anastazia Teresa/0000-0002-6667-3983; Kuffner, Ilsa/0000-0001-8804-7847; Ondrusek, Michael/0000-0002-5311-9094</t>
  </si>
  <si>
    <t>ROSENSTIEL SCH MAR ATMOS SCI</t>
  </si>
  <si>
    <t>MIAMI</t>
  </si>
  <si>
    <t>4600 RICKENBACKER CAUSEWAY, MIAMI, FL 33149 USA</t>
  </si>
  <si>
    <t>0007-4977</t>
  </si>
  <si>
    <t>1553-6955</t>
  </si>
  <si>
    <t>B MAR SCI</t>
  </si>
  <si>
    <t>Bull. Mar. Sci.</t>
  </si>
  <si>
    <t>163LR</t>
  </si>
  <si>
    <t>WOS:000078407600016</t>
  </si>
  <si>
    <t>Antarctic ozone hole sets new record</t>
  </si>
  <si>
    <t>BULLETIN OF THE AMERICAN METEOROLOGICAL SOCIETY</t>
  </si>
  <si>
    <t>0003-0007</t>
  </si>
  <si>
    <t>B AM METEOROL SOC</t>
  </si>
  <si>
    <t>Bull. Amer. Meteorol. Soc.</t>
  </si>
  <si>
    <t>143BL</t>
  </si>
  <si>
    <t>WOS:000077235200016</t>
  </si>
  <si>
    <t>Pitcher, KW; Calkins, DG; Pendleton, GW</t>
  </si>
  <si>
    <t>Reproductive performance of female Steller sea lions: an energetics-based reproductive strategy?</t>
  </si>
  <si>
    <t>CANADIAN JOURNAL OF ZOOLOGY</t>
  </si>
  <si>
    <t>ANTARCTIC FUR SEALS; PHOCA-GROENLANDICA; FETAL GROWTH; HARP SEALS; AGE; POPULATION; ALASKA; ENVIRONMENT; DEMOGRAPHY; PINNIPEDS</t>
  </si>
  <si>
    <t>We examined the reproductive performance of female Steller sea lions (Eumetopias jubatus) in order to evaluate the hypothesis that low pup production was associated with nutritional stress and to assess whether reduced birth rates could have been a factor in a recent large-scale decline in numbers. Nearly all (97%) sexually mature females were pregnant during early gestation. However, by late gestation, pregnancy rates had declined to 67 and 55% in the 1970s and 1980s, respectively, owing to reproductive failures. We found that body condition, as depicted by mass index and blubber index, had a positive effect on the probability that a female would be pregnant during late gestation. Age, age(2), and lactation were also associated with pregnancy status during late gestation. These findings support the hypotheses that reproductive failures were associated with lowered nutritional status and that the resulting low birth rates were a proximate factor in the decline. We speculate that abortion is a part of the reproductive strategy of the female Steller sea lion that enhances overall reproductive performance during times of suboptimal nutrition. A major shift in oceanic regime occurred in the Gulf of Alaska during the late 1970s that resulted in a reduction of about 50% in the overall biomass of fishes and a shift in species composition. Prey resources may not have been adequate to successfully support the Steller sea lions' energetically expensive reproductive/foraging strategy during the period of our study.</t>
  </si>
  <si>
    <t>Alaska Dept Fish &amp; Game, Div Wildlife Conservat, Anchorage, AK 99518 USA; Alaska Dept Fish &amp; Game, Div Wildlife Conservat, Anchorage, AK 99518 USA</t>
  </si>
  <si>
    <t>Alaska Department of Fish &amp; Game; Alaska Department of Fish &amp; Game</t>
  </si>
  <si>
    <t>Alaska Dept Fish &amp; Game, Div Wildlife Conservat, 333 Raspberry Rd, Anchorage, AK 99518 USA.</t>
  </si>
  <si>
    <t>kenp@fishgame.state.ak.us</t>
  </si>
  <si>
    <t>CANADIAN SCIENCE PUBLISHING</t>
  </si>
  <si>
    <t>65 AURIGA DR, SUITE 203, OTTAWA, ON K2E 7W6, CANADA</t>
  </si>
  <si>
    <t>1480-3283</t>
  </si>
  <si>
    <t>Can. J. Zool.</t>
  </si>
  <si>
    <t>10.1139/cjz-76-11-2075</t>
  </si>
  <si>
    <t>197ZE</t>
  </si>
  <si>
    <t>WOS:000080396100013</t>
  </si>
  <si>
    <t>Hou, HM; Luo, YL; Zheng, HH; Wang, BG; Tang, XZ</t>
  </si>
  <si>
    <t>Heinrich layer in Antarctic marine sediments and its significance to global changes</t>
  </si>
  <si>
    <t>CHINESE SCIENCE BULLETIN</t>
  </si>
  <si>
    <t>Antarctica; Heinrich layer; global change; ice-rafted detritus; marine sediments</t>
  </si>
  <si>
    <t>DEEP; SEA</t>
  </si>
  <si>
    <t>Results of grain size analysis and rode magnetic measurements of core NP95-1 from Prydz Bay, Antarctica revealed two series of ice-rafted detritus layers, which correspond to cold climatic events, Younger Dryas and Heinrich event 1, occurring at about 11.7-10.3 and 14.3-13.6 kaB. P. respectively. Studies also show that the sequence of paleoclimatic changes in Antarctica can be correlated with that in other parts of the world, and that the millennial climate of the earth could change synchronously and globally. In addition, magnetic fabric analysis also shows a close relationship between paleoclimatic change and ocean circulation re-assemblage.</t>
  </si>
  <si>
    <t>Chinese Acad Sci, S China Sea Inst Oceanol, Guangzhou 510301, Peoples R China; Chinese Acad Sci, Guangzhou Inst Geochem, Guangzhou 510640, Peoples R China</t>
  </si>
  <si>
    <t>Chinese Academy of Sciences; South China Sea Institute of Oceanology, CAS; Chinese Academy of Sciences; Guangzhou Institute of Geochemistry, CAS</t>
  </si>
  <si>
    <t>Hou, HM (corresponding author), Chinese Acad Sci, S China Sea Inst Oceanol, Guangzhou 510301, Peoples R China.</t>
  </si>
  <si>
    <t>zhang, xu/JEO-4879-2023</t>
  </si>
  <si>
    <t>1001-6538</t>
  </si>
  <si>
    <t>CHINESE SCI BULL</t>
  </si>
  <si>
    <t>Chin. Sci. Bull.</t>
  </si>
  <si>
    <t>10.1007/BF02883383</t>
  </si>
  <si>
    <t>147XB</t>
  </si>
  <si>
    <t>WOS:000077521800016</t>
  </si>
  <si>
    <t>Chepurina, MA</t>
  </si>
  <si>
    <t>Typical features of distribution of semiannual rhythm in variations of the ice edge position in the Southern ocean and its relation to the Southern oscillation</t>
  </si>
  <si>
    <t>DOKLADY AKADEMII NAUK</t>
  </si>
  <si>
    <t>Chepurina, MA (corresponding author), Arctic &amp; Antarctic Res Inst, St Petersburg 199226, Russia.</t>
  </si>
  <si>
    <t>0869-5652</t>
  </si>
  <si>
    <t>DOKL AKAD NAUK+</t>
  </si>
  <si>
    <t>Dokl. Akad. Nauk</t>
  </si>
  <si>
    <t>157LQ</t>
  </si>
  <si>
    <t>WOS:000078063700030</t>
  </si>
  <si>
    <t>Evidence for Cambrian deformation in the Ellsworth-Whitmore Mountains terrane, Antarctica: Stratigraphic and tectonic implications - Comment</t>
  </si>
  <si>
    <t>GEOLOGY</t>
  </si>
  <si>
    <t>WEST ANTARCTICA</t>
  </si>
  <si>
    <t>Curtis, ML (corresponding author), British Antarctic Survey, High Cross,Madingley Rd, Cambridge CB3 0ET, England.</t>
  </si>
  <si>
    <t>ASSOC ENGINEERING GEOLOGISTS GEOLOGICAL SOCIETY AMER</t>
  </si>
  <si>
    <t>COLLEGE STN</t>
  </si>
  <si>
    <t>TEXAS A &amp; M UNIV, DEPT GEOLOGY &amp; GEOPHYSICS, COLLEGE STN, TX 77843-3115 USA</t>
  </si>
  <si>
    <t>0091-7613</t>
  </si>
  <si>
    <t>10.1130/0091-7613(1998)026&lt;1054:EFCDIT&gt;2.3.CO;2</t>
  </si>
  <si>
    <t>135MX</t>
  </si>
  <si>
    <t>WOS:000076807000026</t>
  </si>
  <si>
    <t>Present-day uplift patterns over Greenland from a coupled ice-sheet/visco-elastic bedrock model</t>
  </si>
  <si>
    <t>SHEET; EARTH</t>
  </si>
  <si>
    <t>We present results from a fully coupled ice/ bedrock model calculation of the Greenland ice sheet and the underlying Earth during the last two glacial cycles. The method treats the mutual interaction between the ice and the bedrock and yields the main glacial-isostatic characteristics of the ice-sheet evolution and the bedrock adjustment since the Last Glacial Maximum. By taking advantage of the splitting of the present-day rate of bed uplift into a viscous and an elastic component, these results allow one to distinguish between the bedrock response to the past and present ice sheet evolution, respectively.</t>
  </si>
  <si>
    <t>Alfred Wegener Inst Polar &amp; Marine Res, D-2850 Bremerhaven, Germany; Free Univ Brussels, Dept Geog, Brussels, Belgium</t>
  </si>
  <si>
    <t>Le Meur, E (corresponding author), British Antarctic Survey, High Cross Madingley Rd, Cambridge CB3 0ET, England.</t>
  </si>
  <si>
    <t>lemeur@mail.nerc-bas.ac.uk; phuy-brec@vub.ac.be</t>
  </si>
  <si>
    <t>1944-8007</t>
  </si>
  <si>
    <t>NOV 1</t>
  </si>
  <si>
    <t>10.1029/1998GL900052</t>
  </si>
  <si>
    <t>136CE</t>
  </si>
  <si>
    <t>Bronze, Green Published</t>
  </si>
  <si>
    <t>WOS:000076839800009</t>
  </si>
  <si>
    <t>Villalba, R; Cook, ER; Jacoby, GC; D'Arrigo, RD; Veblen, TT; Jones, PD</t>
  </si>
  <si>
    <t>Tree-ring based reconstructions of northern Patagonia precipitation since AD 1600</t>
  </si>
  <si>
    <t>HOLOCENE</t>
  </si>
  <si>
    <t>tree-rings; dendroclimatology; Austrocedrus chilensis; precipitation reconstructions; precipitation variability; Quasi-Biennial Oscillation; El Nino-Southern Oscillation; ENSO; northern Patagonia; synoptic patterns</t>
  </si>
  <si>
    <t>SOUTHERN OSCILLATION; HEMISPHERE; VARIABILITY; PATTERNS; CONSTRUCTION; ARGENTINA; CLIMATE; RECORDS; SERIES; CHILE</t>
  </si>
  <si>
    <t>Long-term reconstructions (400 years) of seasonal and annual precipitation variations were developed for northern Patagonia east of the Andes using a new set of 16 tree ring-width chronologies from Austrocedrus chilensis (D.Don) Endl. Reconstructions, which capture between 41 and 50% of the precipitation variance, show that the twentieth century contains the most extreme long periods of wetness and dryness in the past 400 years. Since about AD 1910, the reconstructions are also characterized by an increase in interannual variability and one of the highest rates of extreme events within the last 400 years. A prominent oscillation on the order of 2-2.1 years in length has been identified in the reconstructions using spectral analysis. Quasi-Biennial Oscillations have been shown to be very marked in some circulation indices of the Southern Hemisphere. Although significant oscillations within the preferred frequency domain of El Nino-Southern Oscillation (ENSO) are present in the reconstructions, no clear and consistent responses to ENSO have been observed. Correlations of reconstructions with mean sea-level pressure around South America for the interval AD 1912-1984, reveal the influence of subtropical and high-latitude features of the atmospheric circulation on precipitation variations in northern Patagonia. Droughts result from an intensification of the subtropical Pacific anticyclone off the Chilean coast and the deepness of the circum-Antarctic trough over the South Orkney-Antarctic Peninsula sector. Mean sea-level pressure reconstructions for the South Atlantic sector of the Southern Oceans were used to evaluate the temporal stability of the relationships between northern Patagonia precipitation and high-latitude climatic variations since AD 1750. The influence of high-latitude circulation on precipitation appears to be more significant during the twentieth century, which in turn may respond to an intensification of wavenumbers 3 on the mean planetary wave structure over the Southern Hemisphere. Recent increase of precipitation variability in northern Patagonia may reflect stronger interactions between middle- and high-latitude atmospheric circulation in the Southern Hemisphere during the twentieth century.</t>
  </si>
  <si>
    <t>Columbia Univ, Lamont Doherty Earth Observ, Tree Ring Lab, Palisades, NY 10964 USA; CONICET, IANIGLA, Lab Dendrocronol &amp; Hist Ambiental, RA-5500 Mendoza, Argentina; Univ Colorado, Dept Geog, Boulder, CO 80309 USA; Univ E Anglia, Climat Res Unit, Norwich NR4 7TJ, Norfolk, England</t>
  </si>
  <si>
    <t>Columbia University; University Nacional Cuyo Mendoza; Consejo Nacional de Investigaciones Cientificas y Tecnicas (CONICET); University of Colorado System; University of Colorado Boulder; University of East Anglia</t>
  </si>
  <si>
    <t>Villalba, R (corresponding author), Columbia Univ, Lamont Doherty Earth Observ, Tree Ring Lab, Palisades, NY 10964 USA.</t>
  </si>
  <si>
    <t>Jones, Philip Douglas/C-8718-2009; Veblen, Thomas T./U-6461-2018</t>
  </si>
  <si>
    <t>Jones, Philip Douglas/0000-0001-5032-5493; Villalba, Ricardo/0000-0001-8183-0310</t>
  </si>
  <si>
    <t>ARNOLD, HODDER HEADLINE PLC</t>
  </si>
  <si>
    <t>338 EUSTON ROAD, LONDON, ENGLAND NW1 3BH</t>
  </si>
  <si>
    <t>0959-6836</t>
  </si>
  <si>
    <t>Holocene</t>
  </si>
  <si>
    <t>10.1191/095968398669095576</t>
  </si>
  <si>
    <t>143CA</t>
  </si>
  <si>
    <t>WOS:000077236500002</t>
  </si>
  <si>
    <t>Wareham, CD; Pankhurst, RJ; Thomas, RJ; Storey, BC; Grantham, GH; Jacobs, J; Eglington, BM</t>
  </si>
  <si>
    <t>Pb, Nd, and Sr isotope mapping of Grenville-age crustal provinces in Rodinia</t>
  </si>
  <si>
    <t>JOURNAL OF GEOLOGY</t>
  </si>
  <si>
    <t>DRONNING-MAUD-LAND; NATAL METAMORPHIC PROVINCE; EAST ANTARCTICA; SOUTH-AFRICA; SM-ND; SOUTHEASTERN AFRICA; 2 SUPERCONTINENTS; GRANITIC-ROCKS; UNITED-STATES; NUBIAN SHIELD</t>
  </si>
  <si>
    <t>New ph, Nd, and Sr isotope data are presented for geochemically similar, similar to 1.1-1.2 Ga, granitoids and tonalitic-granitic orthogneisses from Antarctica, southern Africa, and the Falkland Islands and adjoining plateau, areas originally within the supercontinents of Rodinia and Gondwana. These data support contentions for the presence of a Mesoproterozoic (similar to 1.2 Ga) destructive plate margin running from Namaqua-Natal (southern Africa), through the displaced microplates of the Falkland Plateau and Falkland Islands, the Haag Nunatak crustal block (West Antarctica) and into western Dronning Maud Land (East Antarctica). The bulk of these granitoids represent juvenile Mesoproterozoic additions to the crust, except for in parts of East Antarctica (i.e., the Sverdrupfjella) where older (Paleoproterozoic or Archean) crust was involved in granitoid generation. Our isotope data permit plate reconstructions in which southern Africa, East Antarctica, and the Falkland Islands and plateau were adjacent within Rodinia.</t>
  </si>
  <si>
    <t>British Antarctic Survey, Cambridge CB3 0ET, England; NERC, Isotope Geosci Lab, British Antarctic Survey, Nottingham NG12 5GG, England; Council Geosci, ZA-3200 Pietermaritzburg, South Africa; Univ Pretoria, Dept Geol, ZA-0002 Pretoria, South Africa; Univ Bremen, Geowissensch, D-28334 Bremen, Germany; Council Geosci, ZA-0001 Pretoria, South Africa</t>
  </si>
  <si>
    <t>UK Research &amp; Innovation (UKRI); Natural Environment Research Council (NERC); NERC British Antarctic Survey; UK Research &amp; Innovation (UKRI); Natural Environment Research Council (NERC); NERC British Antarctic Survey; NERC British Geological Survey; University of Pretoria; University of Bremen</t>
  </si>
  <si>
    <t>Wareham, CD (corresponding author), British Antarctic Survey, Madingley Rd, Cambridge CB3 0ET, England.</t>
  </si>
  <si>
    <t>Grantham, Geoffrey/M-8637-2014; Eglington, Bruce/A-7144-2008</t>
  </si>
  <si>
    <t>Grantham, Geoffrey/0000-0001-9862-0547; Eglington, Bruce/0000-0003-1318-6062</t>
  </si>
  <si>
    <t>0022-1376</t>
  </si>
  <si>
    <t>J GEOL</t>
  </si>
  <si>
    <t>J. Geol.</t>
  </si>
  <si>
    <t>10.1086/516051</t>
  </si>
  <si>
    <t>139GR</t>
  </si>
  <si>
    <t>WOS:000077020200001</t>
  </si>
  <si>
    <t>Ogawa, T; Nishitani, N; Pinnock, M; Sato, N; Yamagishi, H; Yukimatu, AS</t>
  </si>
  <si>
    <t>Antarctic HF radar observations of irregularities associated with polar patches and auroral blobs: A case study</t>
  </si>
  <si>
    <t>INTERPLANETARY MAGNETIC-FIELD; TIME-VARYING CONVECTION; F-LAYER PATCHES; IONOSPHERIC CONVECTION; DENSITY STRUCTURES; CAP ARCS; REGION; DYNAMICS; ENHANCEMENTS; PATTERNS</t>
  </si>
  <si>
    <t>We report a case study of decameter-scale electron density irregularities associated with polar cap patches and auroral (boundary) blobs in the southern high-latitude F region ionosphere. The observations were carried out on July 14: 1995, with the Antarctic Super Dual Auroral Radar Network KF radars located at Syowa Station and Halley. On that day, 17 irregularity events associated with the patches were identified in the polar cap. The time distribution of these events is consistent with previous model calculations of patch formation and transportation in the northern hemisphere for southward interplanetary magnetic field (IMF) conditions (Bz &lt; 0). The irregularity areas observed can attain to 1000x1500 km that is comparable to a typical polar patch size, suggesting that the electron density within the patch is not uniform but structured. Somewhat surprisingly, patch-associated irregularities appear even under long-lasting northward IMF conditions (Bz &gt; 0). These patches seem to have been transported into the polar cap from the dayside cusp where the patches had been generated under negative Bz conditions. The striated radar echo patterns due to a series of auroral blobs, clearly observed at Halley in the evening auroral zone, are well explained by previous simulations that calculated the time evolution and transportation of a patch initially located in the polar cap.</t>
  </si>
  <si>
    <t>Nagoya Univ, Solar Terrestrial Environm Lab, Aichi 442, Japan; British Antarctic Survey, Cambridge CB3 0ET, England; Natl Inst Polar Res, Itabashi Ku, Tokyo 173, Japan</t>
  </si>
  <si>
    <t>Nagoya University; UK Research &amp; Innovation (UKRI); Natural Environment Research Council (NERC); NERC British Antarctic Survey; Research Organization of Information &amp; Systems (ROIS); National Institute of Polar Research (NIPR) - Japan</t>
  </si>
  <si>
    <t>Ogawa, T (corresponding author), Nagoya Univ, Solar Terrestrial Environm Lab, 3-13 Honohara, Aichi 442, Japan.</t>
  </si>
  <si>
    <t>Nishitani, Nozomu/R-8831-2019</t>
  </si>
  <si>
    <t>Nishitani, Nozomu/0000-0001-9842-5119</t>
  </si>
  <si>
    <t>A11</t>
  </si>
  <si>
    <t>10.1029/98JA02044</t>
  </si>
  <si>
    <t>133UX</t>
  </si>
  <si>
    <t>WOS:000076705500028</t>
  </si>
  <si>
    <t>Lewis, RV; Freeman, MP; Reeves, GD</t>
  </si>
  <si>
    <t>The relationship of HF radar backscatter to the accumulation of open magnetic flux prior to substorm onset</t>
  </si>
  <si>
    <t>TRANSFER EVENTS; MAGNETOPAUSE; CONVECTION; IONOSPHERE; PLASMA; RECONNECTION; EXCITATION; SYSTEM</t>
  </si>
  <si>
    <t>We identify a characteristic signature observed in Halley HF radar data during the substorm growth phase and investigate its relationship to magnetotail evolution leading up to substorm onset. The signature is a super-diurnal equatorward propagation of the equatorward edge of the HF radar backscatter returns. It is found to be characteristic of a particular class of substorms, those which are the first to occur following quiet magnetospheric and ionospheric conditions. By using solar wind data, we estimate the reconnection electric field at the magnetopause for four such events. An empirical relationship is found to exist between the time integral of this electric field and the latitude of the HF radar backscatter. Relating this solely to the addition of open magnetic flux to the polar cap; we would estimate the length of the dayside reconnection X line to be 12 R-E. It is likely that additional factors affect this empirical relationship.</t>
  </si>
  <si>
    <t>British Antarctic Survey, Nat Environm Res Council, Cambridge CB3 0ET, England; Univ Calif Los Alamos Natl Lab, Los Alamos, NM 87545 USA</t>
  </si>
  <si>
    <t>UK Research &amp; Innovation (UKRI); Natural Environment Research Council (NERC); NERC British Antarctic Survey; United States Department of Energy (DOE); Los Alamos National Laboratory</t>
  </si>
  <si>
    <t>Lewis, RV (corresponding author), British Antarctic Survey, Nat Environm Res Council, High Cross,Madingley Rd, Cambridge CB3 0ET, England.</t>
  </si>
  <si>
    <t>M.P.Freeman@bas.ac.uk; Reeves@lanl.gov</t>
  </si>
  <si>
    <t>Reeves, Geoffrey/E-8101-2011; Freeman, Mervyn/E-5687-2019</t>
  </si>
  <si>
    <t>Reeves, Geoffrey/0000-0002-7985-8098; Freeman, Mervyn/0000-0002-8653-8279</t>
  </si>
  <si>
    <t>10.1029/98JA02434</t>
  </si>
  <si>
    <t>WOS:000076705500034</t>
  </si>
  <si>
    <t>Munakata, K; Kitawada, T; Yasue, S; Mori, S; Kato, C; Koyama, M; Akahane, S; Hall, DL; Fujii, Z; Fujimoto, K; Humble, JE; Fenton, AG; Fenton, KB; Duldig, ML</t>
  </si>
  <si>
    <t>Solar semidiurnal anisotropy of galactic cosmic ray intensity observed by the two-hemisphere network of surface-level muon telescopes</t>
  </si>
  <si>
    <t>Observations made by the two-hemisphere network of surface-level, multidirectional muon telescopes at Hobart (Tasmania, Australia) and Nagoya (Aichi, Japan) are used to examine the origin of the solar semidiurnal variation in cosmic ray intensity. The network allows us to precisely determine the asymmetry of the variation across both hemispheres. It is shown that the variation is consistent with the north-south (NS) symmetric distribution of cosmic ray intensity in space. The phase of the space harmonic vector responsible for the variation is consistent with both the second-order anisotropy expected from a bidirectional latitudinal density gradient (type I) and also one arising from pitch angle scattering (type II). The network also observed a purely NS antisymmetric, antisidereal diurnal variation with the maximum phases differing by 12 hours between the two hemispheres. This is consistent with an antisidereal diurnal variation arising from annual modulation of the solar diurnal variation produced by a second-order anisotropy. The phase of the space harmonic vector responsible for the antisidereal diurnal variation is consistent with the phases predicted from both type I and type II anisotropies. It is shown, however, that the ratio of the amplitude of the space harmonic vector of the antisidereal diurnal variation to that of the solar semidiurnal variations is consistent with the type II anisotropy but not with the type I anisotropy. This result implies that the solar semidiurnal variation and the antisidereal diurnal variation observed during the period 1992-1995 mainly arise from the type II anisotropy and cannot be explained solely as arising from the type I anisotropy.</t>
  </si>
  <si>
    <t>Shinshu Univ, Fac Sci, Dept Phys, Matsumoto, Nagano 390, Japan; Nagoya Univ, Solar Terr Environm Lab, Nagoya, Aichi 464, Japan; Univ Tasmania, Dept Phys, Hobart, Tas 7001, Australia; Australian Antarctic Div, Kingston, Tas 7050, Australia</t>
  </si>
  <si>
    <t>Akahane, S (corresponding author), Shinshu Univ, Fac Sci, Dept Phys, Matsumoto, Nagano 390, Japan.</t>
  </si>
  <si>
    <t>Humble, John/0000-0002-4698-1671; Duldig, Marcus/0000-0001-7463-8267</t>
  </si>
  <si>
    <t>10.1029/98JA01926</t>
  </si>
  <si>
    <t>WOS:000076705500055</t>
  </si>
  <si>
    <t>Park, YH; Charriaud, E; Fieux, M</t>
  </si>
  <si>
    <t>Thermohaline structure of the Antarctic Surface Water Winter Water in the Indian sector of the Southern Ocean</t>
  </si>
  <si>
    <t>International JGOFS Symposium on Carbon Fluxes and Dynamic Processes in the Southern Ocean - Present and Past</t>
  </si>
  <si>
    <t>AUG 28-31, 1995</t>
  </si>
  <si>
    <t>thermohaline structure; Prydz Bay; Southern Ocean; sea ice; circumpolar impact</t>
  </si>
  <si>
    <t>CIRCUMPOLAR CURRENT; MIXED-LAYER; FRONTAL STRUCTURE; PRYDZ BAY; CIRCULATION; MASSES; DEEP; TRANSPORT; BOUNDARY; AFRICA</t>
  </si>
  <si>
    <t>Upper-layer thermohaline structure in the Antarctic Zone between 20 degrees and 120 degrees E has been described and interpreted for its underlying physics, based on two recent summer hydrographic sections along 30 degrees and 62 degrees E, together with historical hydrographic data available in the study area. Spatial property distributions of the surface mixed layer and subsurface temperature minimum layer or Winter Water are closely correlated with the seasonal warming and cooling, wind intensity, seasonal sea ice advance and retreat, and the general circulation in the study area. The Prydz Bay area exhibits the most saline, dense, deep Winter Water and appears as the site with the highest potential for the local formation of deep water of the whole study area, although its circumpolar impact is known to be minor. There is strong evidence that the summertime freshwater input in the Enderby Basin comes mostly from the eastward advection of meltwater originating from the Weddell Basin, along the northern Limb of the Weddell Gyre.</t>
  </si>
  <si>
    <t>Museum Natl Hist Nat, Lab Oceanog Phys, F-75005 Paris, France; Univ Paris 06, Lab Oceanog Dynam &amp; Climatol, F-75005 Paris, France</t>
  </si>
  <si>
    <t>Museum National d'Histoire Naturelle (MNHN); Sorbonne Universite</t>
  </si>
  <si>
    <t>Park, YH (corresponding author), Museum Natl Hist Nat, Lab Oceanog Phys, 43 Rue Cuvier, F-75005 Paris, France.</t>
  </si>
  <si>
    <t>1-4</t>
  </si>
  <si>
    <t>10.1016/S0924-7963(98)00026-8</t>
  </si>
  <si>
    <t>146ZJ</t>
  </si>
  <si>
    <t>WOS:000077463500002</t>
  </si>
  <si>
    <t>Archambeau, AS; Pierre, C; Poisson, A; Schauer, B</t>
  </si>
  <si>
    <t>Distributions of oxygen and carbon stable isotopes and CFC-12 in the water masses of the Southern Ocean at 30°E from South Africa to Antarctica:: results of the CIVA1 cruise</t>
  </si>
  <si>
    <t>stable isotopes; O-18; C-13; CFC-12</t>
  </si>
  <si>
    <t>WEDDELL GYRE; CIRCULATION; TRACERS; SEA</t>
  </si>
  <si>
    <t>This study presents oceanic distributions of stable isotopes (delta(18)O of water and delta(13)C of Sigma CO2) and CFC-12 from samples collected during the CIVAl cruise (February/March 1993), across the Southern Ocean, dong a meridian section at 30 degrees E, from South Africa (44 degrees S) to Antarctica (70 degrees S). The isotopic measurements show important variations between the subantarctic surface waters with low delta(18)O-high delta(13)C values and the antarctic surface waters with very low delta(18)O-low delta(13)C values. The surface distributions of delta(13)C values follow the major frontal oceanic structures; the vertical distribution shows the progressive upwelling from the subantarctic zone to the antarctic divergence of C-13-depleted CO2 derived from remineralization of organic matter. Along the Antarctic continental shelf, between 2500 and 4000 m, a core of water with delta(18)O values close to -0.1 parts per thousand is associated with a relative maximum in CFC-12 concentration, although this core is not detected by its temperature and salinity parameters. This water mass, which corresponds to recently formed deep water, may originate from the eastward extension of the Weddell gyre or from bottom waters coming from the East and formed near Prydz Bay.</t>
  </si>
  <si>
    <t>Univ Paris 06, Phys &amp; Chim Marines Lab, URA 2076 CNRS, F-75252 Paris 05, France; Univ Paris 06, Lab Oceanog Dynam &amp; Climatol, UMR CNRS, ORSTOM, F-75252 Paris 05, France</t>
  </si>
  <si>
    <t>Sorbonne Universite; Institut de Recherche pour le Developpement (IRD); Centre National de la Recherche Scientifique (CNRS); Sorbonne Universite</t>
  </si>
  <si>
    <t>Univ Paris 06, Phys &amp; Chim Marines Lab, URA 2076 CNRS, Tours 24-25,4 Pl Jussieu, F-75252 Paris 05, France.</t>
  </si>
  <si>
    <t>archambo@ccr.jussieu.fr; cat@Iodyc.jussieu.fr; apoisson@ccr.jussieu.fr; cat@Iodyc.jussieu.fr</t>
  </si>
  <si>
    <t>10.1016/S0924-7963(98)00027-X</t>
  </si>
  <si>
    <t>WOS:000077463500003</t>
  </si>
  <si>
    <t>Bathmann, UV</t>
  </si>
  <si>
    <t>Ecology and biogeochemistry in the Atlantic sector of the Southern Ocean during austral spring:: the first JGOFS expedition aboard RV 'Polarstern'</t>
  </si>
  <si>
    <t>Southern Ocean Joint Global Ocean Flux Study (JGOFS); Antarctic circumpolar current; Polar Front; carbon dioxide; CO2 draw-down; krill; Corethron criophylum; biogeochemistry; Fragilariopsis kerguelensis; grazing; phytoplankton blooms; export production; Th-234; salps; biological pump; micro-nutrients (iron)</t>
  </si>
  <si>
    <t>ANTARCTIC CIRCUMPOLAR CURRENT; WEDDELL SEA; PHYTOPLANKTON BLOOMS; CARBON-DIOXIDE; WATER COLUMN; IRON; SUMMER; PENINSULA; BIOMASS; FRONTS</t>
  </si>
  <si>
    <t>Investigations of phytoplankton spring bloom development and its biogeochemical impacts in different water masses of the Atlantic sector of the Antarctic Circumpolar Current were carried out during RV 'Polarstern' cruise ANT X/6 as part of the international Southern Ocean JGOFS programme. The regions investigated were the Polar Front region, the southern branch of the Antarctic Circumpolar Current (sACC) and the Marginal Ice Zone (MIZ), between 48 degrees S and 60 degrees S along the 6 degrees W meridian from 29 September to 30 November 1992. This paper summarises the major findings of the cruise and complements the paper of Smetacek et al. [Smetacek, V., Bathmann, U.V., de Baar, H.J.W., Lochte K., Rutgers van der Loeff, M.M., 1997a. Ecology and biochemistry of the Antarctic Circumpolar Current during austral spring: results of the JGOFS expedition ANT X/6 aboard RV 'Polarstern'. Deep-Sea Res. II, 44, 1-21; Smetacek, V., de Baar, H.J.W., Bathmann, U.V., Lochte, K., Rutgers van der Loeff, M.M. (Eds.), 1997b. Ecology and Biogeochemistry of the Antarctic Circumpolar Current During Austral Spring: Southern Ocean JGOFS Cruise ANT X/6 of R.V. 'Polarstern'. Deep-Sea Res. II, 44, 519 pp.]. In the surface waters of all regions a recycling community with low biomass but high turnover rates was present. This had Little impact on large scale biogeochemical cycles. Superimposed on this community were diatom blooms formed by large species in the region of the Polar Front. It was these massive diatom blooms that caused biogeochemical export to the deep ocean. Physical stability of the upper water layers was recognized as the most important factor in determining initiation and development of these blooms. Their growth was favoured by relatively high natural iron availability. Intrinsic factors in diatom life cycle and reproduction may have triggered the demise of blooms accompanied by massive sedimentation events. Feeding by larger zooplankton in general appeared minimal, except for the occurrence of salps in the low productivity zone of the sACC. Seasonal warming and ice-retreat in the sACC and MIZ caused outgassing of carbon dioxide, but there was clear CO2 draw-down by the diatom blooms in the iron-rich Polar Frontal region. Top predators had negligible direct impact on the CO2 budget but would have affected population dynamics of the plankton community. Thus, it was not the community with the highest turnover rates (microbial network) but the species which yielded most biomass (diatoms) which had the greatest impact on export of C, N and Si in this part of the Southern Ocean, and is therefore most important on biogeochemical cycling on global scales.</t>
  </si>
  <si>
    <t>Bathmann, UV (corresponding author), Alfred Wegener Inst Polar &amp; Marine Res, 12 01 61, D-27515 Bremerhaven, Germany.</t>
  </si>
  <si>
    <t>ubathmann@awi-bremerhaven.de</t>
  </si>
  <si>
    <t>10.1016/S0924-7963(98)00030-X</t>
  </si>
  <si>
    <t>WOS:000077463500006</t>
  </si>
  <si>
    <t>Barlow, RG; Mantoura, RFC; Cummings, DG</t>
  </si>
  <si>
    <t>Phytoplankton pigment distributions and associated fluxes in the Bellingshausen Sea during the austral spring 1992</t>
  </si>
  <si>
    <t>phytoplankton; pigments; Bellingshausen Sea; fluxes</t>
  </si>
  <si>
    <t>MARGINAL ICE-ZONE; SOUTHERN-OCEAN; WEDDELL SEA; PHOTOSYNTHETIC PIGMENTS; NORTHEASTERN ATLANTIC; CHLOROPHYLL; ANTARCTICA; EDGE; ALGAE; SEDIMENTATION</t>
  </si>
  <si>
    <t>Pigment distribution patterns were investigated in the marginal ice zone of the Bellingshausen Sea and across the Drake Passage during the austral spring of November/December 1992. Elevated chlorophyll a (chl a) and fucoxanthin levels were observed at the Sub-Antarctic and Polar Fronts in the Drake Passage and at the Southern Polar Front in the Bellingshausen Sea. Investigations at 5 stations along 85 degrees W in the Bellingshausen Sea between 70.5 degrees S and 67.5 degrees S revealed high concentrations of chi a (up to 24000 ng l(-1) ice melt) and fucoxanthin in hard pack ice samples and very low levels of pigments in the underlying water column (&lt; 100 ng l(-1)). At two ice melt stations, pigment concentrations in the ice were considerably lower and chi a in the upper mixed layer ranged from 120-250 ng l(-1), with increased levels of hexanoyloxyfucoxanthin and chlorophyll b (chI b). In open water, the high chi a band at the Southern Polar Front (up to 2400 ng l(-1)) was associated with elevated fucoxanthin concentrations. Integrated concentrations, pigment ratios and a conversion of accessory pigments to chi a equivalents indicated that diatoms (fucoxanthin) were the most important group in the ice (&gt; 70%), although prymnesiophytes (hexanoyloxyfucoxanthin) and green algae (chl b) were present in smaller proportions. Diatoms dominated at the open water stations(&gt; 60%) and were prominent in the water column under the pack ice (52-61%). However, at the ice melt stations, prymnesiophytes (40-45%), green algae (11-13%) and, to a lesser extent, cryptophytes (4-6%; alloxanthin) collectively contributed more to the chi a biomass than the diatoms (37-42%). Budgeting the proportions of chloropigments indicated an increase in chlorophyllide a and phaeopigments from the ice to the northern open water stations, with chlorophyllide a being prominent in the upper water column and in the ice. Export fluxes of phytoplankton-carbon and phytodetritus in the upper 100 m were estimated from chloropigment inventories and residence times of Po-210 radionuclide reported by Shimmield et al. (1995) [Shimmield, G.B., Ritchie, G., Fileman, T.W., 1995. The impact of marginal zone processes on the distribution of Pb-210, Po-210 and Th-234 and implications for new production in the Bellingshausen Sea Antarctica. Deep-Sea Res. II, 42 (1995) 1313-1335], revealing very low fluxes at the ice stations and up to 29 mg phyto-C m(-2) day(-1) at the open water high chlorophyll locality.</t>
  </si>
  <si>
    <t>Plymouth Marine Lab, Plymouth PL1 3DH, Devon, England</t>
  </si>
  <si>
    <t>Plymouth Marine Laboratory</t>
  </si>
  <si>
    <t>Barlow, RG (corresponding author), Sea Fisheries Res Inst, Private Bag X2,Rogge Bay 8012, Cape Town, South Africa.</t>
  </si>
  <si>
    <t>10.1016/S0924-7963(98)00032-3</t>
  </si>
  <si>
    <t>WOS:000077463500008</t>
  </si>
  <si>
    <t>Saggiomo, V; Carrada, GC; Mangoni, O; d'Alcalà, MR; Russo, A</t>
  </si>
  <si>
    <t>Spatial and temporal variability of size-fractionated biomass and primary production in the Ross Sea (Antarctica) during austral spring and summer</t>
  </si>
  <si>
    <t>Ross Sea (Antarctica); size-fractionated photosynthetic pigments; size-fractionated primary production</t>
  </si>
  <si>
    <t>MARGINAL ICE-ZONE; PHYTOPLANKTON STANDING CROP; SOUTHERN-OCEAN; WEDDELL SEA; EDGE; NANOPLANKTON; REGION; BLOOMS; FIELD</t>
  </si>
  <si>
    <t>The results of a study on the spatial and temporal dynamics of size-fractionated biomass and production of phytoplankton in the Ross Sea during the austral spring and summer are reported. The spring cruise took place in the offshore Ross Sea from 14 November to 14 December 1994. Sampling was carried out on a transect of 27 stations distributed from 76.5 to 72.0 degrees S along 175 degrees E, and covered the three main Antarctic environments of the polynya open waters, the marginal ice zone and the pack ice area. Three subsystems were identified. The subsystem of the polynya was characterised by the predominance of the micro- and nano-planktonic fractions, chlorophyll (Chl a) concentrations from 69.6 to 164.7 mg m(-2) and production rates from 0.68 to 1.14 g C m(-2) day(-1). The second subsystem, the marginal ice zone, showed a relative increase of the micro-planktonic fraction, high biomass levels (from 99.64 to 220 mg Chi m(-2)) and production rates from 0.99 to 2.7 g C m(-2) day(-1). The subsystem of the pack ice area had a phytoplankton community dominated by the pico-planktonic fraction and showed low biomasses (from 19.4 to 37.7 mg Chi m(-2)) and production rates (0.28 to 0.60 g C m-2 day(-1)). Selective grazing by krill is considered an important factor in determining the size structure of the phytoplankton communities. The summer study consisted of a time series carried out in inshore waters of Terra Nova Bay from 12 January to g February 1990. In a well stabilised water column and with high levels of PAR always available, the primary production rates of a community dominated by micro-plankton varied from 0.52 to 1.2 g C m(-2) day(-1) (average 0.84). A high P/B ratio, up to 3, and a remarkably elevated mean phaeopigment (Phaeo)/Chl a ratio of 2.4 indicated an active removal of biomass by grazing, confirmed by the presence of faecal pellets in quantities reaching 6000 m(-3) in the upper 50 m. The peculiarities of the inshore versus offshore environments in terms of community size structure, production processes and their implications as regards the food web are discussed.</t>
  </si>
  <si>
    <t>Staz Zool Anton Dohrn, Lab Oceanog Biol, I-80121 Naples, Italy; Univ Naples Federico 2, Dipartimento Zool, Cattedra Biol Marina, I-80134 Naples, Italy; CNR, Ist Ricerca Pesca Marittima, I-60100 Ancona, Italy</t>
  </si>
  <si>
    <t>Stazione Zoologica Anton Dohrn di Napoli; University of Naples Federico II; Consiglio Nazionale delle Ricerche (CNR)</t>
  </si>
  <si>
    <t>Saggiomo, V (corresponding author), Staz Zool Anton Dohrn, Lab Oceanog Biol, Villa Comunale 1, I-80121 Naples, Italy.</t>
  </si>
  <si>
    <t>saggiomo@alpha.azn.it</t>
  </si>
  <si>
    <t>Ribera d'Alcala', Maurizio/B-7114-2012; Russo, Aniello/A-2319-2010</t>
  </si>
  <si>
    <t>Ribera d'Alcala', Maurizio/0000-0002-5492-9961; Russo, Aniello/0000-0003-3651-8146</t>
  </si>
  <si>
    <t>10.1016/S0924-7963(98)00033-5</t>
  </si>
  <si>
    <t>WOS:000077463500009</t>
  </si>
  <si>
    <t>Figueiras, FG; Estrada, M; López, O; Arbones, B</t>
  </si>
  <si>
    <t>Photosynthetic parameters and primary production in the Bransfield Strait:: relationships with mesoscale hydrographic structures</t>
  </si>
  <si>
    <t>Bransfield Strait; mesoscale hydrographic structures; photosynthetic parameters; primary production; Antarctica</t>
  </si>
  <si>
    <t>WEDDELL-SCOTIA SEA; MARGINAL ICE-ZONE; ANTARCTIC PHYTOPLANKTON; SOUTHERN-OCEAN; AUSTRAL SUMMER; WATER MASSES; REGION; EDGE; BIOMASS; LIGHT</t>
  </si>
  <si>
    <t>During January 1994, the photosynthetic response (P-E curves) of phytoplankton in the eastern part of the Bransfield Strait (Antarctica) was studied in relation to the mesoscale hydrographic structures in the area. The most important hydrographic features found in the study area were: (i) the Bransfield Strait front which separates surface Bellingshausen waters from surface Weddell Sea water in the northern part of the Strait; (ii) further to the North, the Weddell-Scotia Confluence north of Elephant island; (iii) to the South, the ice-edge and the associated lenses of melting waters at the south-eastern part of the sampling area. These three structures were associated with zones of shallower mixing depth (&lt; 50 m) and contrast to those influenced by Weddell Sea waters in which the mixed layer depth was deeper than 150 m. The stronger stratification in these three areas was reflected in a higher chlorophyll (Chl) concentration at the surface waters (&gt; 1 mg Chl m(-3)). The photosynthetic response of the phytoplankton was also affected by the hydrographic structures. The phytoplankton of the well-mixed Weddell waters showed a lower light saturation parameter (E-k &lt; 100 mu mol m(-2) s(-1)) than the populations of the more stratified waters (E-k &gt; 100 mu mol m(-2) s(-1)). There were no differences in the light saturation parameters of phytoplankton samples from the different water bodies found in the region as demonstrated by a t-test for paired comparisons (0.88 &gt; P &gt; 0.46). The average E-k was 87 +/- 26 mu mol m(-2) s(-1) and not significantly different (t-test NS, P = 0.83) from the mean irradiance in the upper mixed layer (Z(uml)) without the Z(uml) greater than or equal to 150 m stations. The slope of the P-m(B) VS. alpha relationship was 59 +/- 5 mu mol m(-2) s(-1) (r(2) = 0.66, P &lt; 0.001) and the mean irradiance of the upper mixed layer was 64 +/- 45 mu mol m(-2) s(-1), suggesting that the phytoplankton was adapted to maximize its carbon uptake even in regions with high hydrographic variability. The mean integrated primary production of the water column was higher at the zones with the highest chlorophyll concentrations reaching values &gt; 1.5 g C m(-2) d(-1) between King George Island and Elephant Island.</t>
  </si>
  <si>
    <t>CSIC, Inst Invest Marinas, Vigo 36208, Spain; CSIC, Inst Ciencias Mar, E-08039 Barcelona, Spain; Univ Politecn Cataluna, Lab Enginyeria Maritima, ES-08034 Barcelona, Spain</t>
  </si>
  <si>
    <t>Consejo Superior de Investigaciones Cientificas (CSIC); CSIC - Instituto de Investigaciones Marinas (IIM); Consejo Superior de Investigaciones Cientificas (CSIC); CSIC - Centro Mediterraneo de Investigaciones Marinas y Ambientales (CMIMA); CSIC - Instituto de Ciencias del Mar (ICM); Universitat Politecnica de Catalunya</t>
  </si>
  <si>
    <t>Figueiras, FG (corresponding author), CSIC, Inst Invest Marinas, Eduardo Cabello 6, Vigo 36208, Spain.</t>
  </si>
  <si>
    <t>paco@iim.csic.es</t>
  </si>
  <si>
    <t>Figueiras, Francisco/A-5034-2008; Estrada, Marta/L-6207-2014</t>
  </si>
  <si>
    <t>Figueiras, Francisco/0000-0003-1810-4935; Estrada, Marta/0000-0001-5769-9498; Arbones, Belen/0000-0001-5185-1217</t>
  </si>
  <si>
    <t>10.1016/S0924-7963(98)00034-7</t>
  </si>
  <si>
    <t>WOS:000077463500010</t>
  </si>
  <si>
    <t>Goeyens, L; Semeneh, M; Baumann, MEM; Elskens, M; Shopova, D; Dehairs, F</t>
  </si>
  <si>
    <t>Phytoplanktonic nutrient utilisation and nutrient signature in the Southern Ocean</t>
  </si>
  <si>
    <t>Southern Ocean; silicate excess area; nitrate excess area; nitrate uptake rate; f-ratio</t>
  </si>
  <si>
    <t>MARGINAL ICE-ZONE; PRIMARY PRODUCTIVITY; ANTARCTIC OCEAN; NITROGEN UPTAKE; NITRATE UPTAKE; WEDDELL SEA; INDIAN SECTOR; UPTAKE RATES; LATE SUMMER; SCOTIA SEA</t>
  </si>
  <si>
    <t>The separation in Southern Ocean provinces of silicate excess at nitrate exhaustion and of nitrate excess at silicate exhaustion was already introduced by Kamykowski and Zentara (Kamykowski, D., Zentara, S.J., 1985. Nitrate and silicic acid in the world ocean: patterns and processes. Mar. Ecol. Frog. Ser. 26, 47-59; and Kamykowski, D., Zentara, S.J., 1989. Circumpolar plant nutrient covariation in the Southern Ocean: patterns and processes. Mar. Ecol. Frog. Ser. 58, 101-111) and our investigations of the silicate to nitrate uptake ratios confirm the earlier distinction. Oligotrophic antarctic waters mainly exhibit proportionally higher silicate removal what induces a potential for nitrate excess. The nitrogen uptake regime of such areas is characterised by low absolute as well as specific nitrate uptake rates throughout. Maximal values did not exceed 0.15 mu M d(-1) and 0.005 h(-1), respectively. Corresponding f-ratios ranged from 0.39 to 0.86. This scenario contrasts strikingly to the more fertile ice edge areas. They showed a drastic but short vernal increase in nitrate uptake. Absolute uptake rates reached a maximum value of 2.18 mu M d(-1) whereas the maximal specific uptake rate was 0.063 h(-1). In addition to an optimal physical environment for bloom development, accumulation of ammonium stimulated nitrate uptake in a direct or indirect way. Since ammonium build-up in surface waters traces enhanced remineralisation, release of other essential compounds during degradation of organic matter might have been the main trigger. This peak nitrate utilisation during early spring led to the observed potential for silicate excess. With increasing seasonal maturity the nitrate uptake became inhibited by the presence of enhanced ammonium availability (up to 8% of the inorganic nitrogen pool), however, and after a short period of intensive nitrate consumption the uptake rates drop to very low levels, which are comparable to the ones observed in the area of nitrate excess at silicate exhaustion.</t>
  </si>
  <si>
    <t>Free Univ Brussels, Analyt Chem Lab, B-1050 Brussels, Belgium; Alfred Wegener Inst Polar &amp; Marine Res, D-27515 Bremerhaven, Germany</t>
  </si>
  <si>
    <t>Universite Libre de Bruxelles; Helmholtz Association; Alfred Wegener Institute, Helmholtz Centre for Polar &amp; Marine Research</t>
  </si>
  <si>
    <t>Goeyens, L (corresponding author), Free Univ Brussels, Analyt Chem Lab, Pleinlaan 2, B-1050 Brussels, Belgium.</t>
  </si>
  <si>
    <t>Leo.Goeyens@ihe.be</t>
  </si>
  <si>
    <t>10.1016/S0924-7963(98)00035-9</t>
  </si>
  <si>
    <t>WOS:000077463500011</t>
  </si>
  <si>
    <t>Semeneh, M; Dehairs, F; Elskens, M; Baumann, MEM; Kopczynska, EE; Lancelot, C; Goeyens, L</t>
  </si>
  <si>
    <t>Nitrogen uptake regime and phytoplankton community structure in the Atlantic and Indian sectors of the Southern Ocean</t>
  </si>
  <si>
    <t>nitrogen uptake; phytoplankton community structure; Southern Ocean; seasonal variability</t>
  </si>
  <si>
    <t>WEDDELL CONFLUENCE AREA; MARGINAL ICE-ZONE; ANTARCTIC OCEAN; ROSS SEA; AUSTRAL SUMMER; SCOTIA SEA; EDGE ZONE; AMMONIUM; BIOMASS; AUTUMN</t>
  </si>
  <si>
    <t>Phytoplankton nitrogen uptake is studied in relation to the biomass and structure of phytoplankton community in the Atlantic and Indian sectors of the Southern Ocean. Two scenarios of seasonal evolution of uptake regime and phytoplankton community structure are described. The first scenario includes the Marginal Ice Zone areas of the Weddell Sea and adjacent areas where a predominantly nitrate based, diatom dominated assemblage, thriving in a stable water column at the beginning of the season was transformed into a mainly ammonium based, flagellate dominated assemblage, towards the end of the season. The change in phytoplankton community structure was caused by selective grazing by large grazers and reduced stability of the water column and the shift in uptake regime was due to increased ammonium availability and changes in community structure. In the second scenario, in the Coastal and Continental Shelf Zone (CCSZ) and Open Oceanic Zone (OOZ) of the Indian sector, a shift in uptake regime occurred without a big change in phytoplankton community structure. These areas were sampled late in the growth season and were characterized by prolonged water column stability, less grazing pressure on large diatoms and high ammonium availability. Diatoms dominated the assemblage and about 80% phytoplankton biomass was on the &gt; 10 mu m size fraction. Unlike the first scenario, diatoms were largely based on ammonium. Thus, in areas of persistent water column stability and less selective grazing pressure, a shift in uptake regime can occur without change in community structure. The dominance of diatoms under regenerated production provides a physiological evidence for the excess net removal of silicate over nitrate occurring in certain provinces of the Southern Ocean.</t>
  </si>
  <si>
    <t>Free Univ Brussels, Grp Microbiol Milieux Aquat, B-1050 Brussels, Belgium; Alfred Wegener Inst Polar &amp; Marine Res, D-27515 Bremerhaven, Germany; Polish Acad Sci, Dept Antarctic Biol, PL-02141 Warsaw, Poland</t>
  </si>
  <si>
    <t>Universite Libre de Bruxelles; Helmholtz Association; Alfred Wegener Institute, Helmholtz Centre for Polar &amp; Marine Research; Polish Academy of Sciences</t>
  </si>
  <si>
    <t>Goeyens, L (corresponding author), Free Univ Brussels, Grp Microbiol Milieux Aquat, Pleinlaan 2, B-1050 Brussels, Belgium.</t>
  </si>
  <si>
    <t>10.1016/S0924-7963(98)00036-0</t>
  </si>
  <si>
    <t>WOS:000077463500012</t>
  </si>
  <si>
    <t>Fiala, M; Semeneh, M; Oriol, L</t>
  </si>
  <si>
    <t>Size-fractionated phytoplankton biomass and species composition in the Indian sector of the Southern Ocean during austral summer</t>
  </si>
  <si>
    <t>phytoplankton; Southern Ocean; species composition; austral summer</t>
  </si>
  <si>
    <t>ANTARCTIC OCEAN; WEDDELL SEA; NITROGEN ASSIMILATION; PRIMARY PRODUCTIVITY; CONFLUENCE AREA; SCOTIA SEA; DIATOMS; CARBON; NANOPLANKTON; VARIABILITY</t>
  </si>
  <si>
    <t>During the late austral summer of 1994, Antarctic waters were characterized by low phytoplankton biomass. Along the 62 degrees E meridian transect, between 49 degrees S and 67 degrees S, chlorophyll (Chl.) a concentration in the upper 150 m was on average 0.2 mg m(-3). However, in the Seasonal Ice Zone (SIZ) chlorophyll a concentrations were higher, with a characteristic deep chlorophyll maximum. The highest value (0.6 mg Chi. a m(-3)) was measured at the Antarctic Divergence, 64 degrees S, corresponding to the depth of the temperature minimum (similar to 100 m). This deep biomass maximum decreased from South to North, disappeared in the Permanently Open Ocean Zone (POOZ) and reappeared with less vigour in the vicinity of the Polar Front Zone (PFZ). In the SIZ, the upper mixed layer was shallow, biomass was higher and the &gt; 10 mu m fraction was predominant. In this zone the &gt; 10 mu m, 2-10 mu m and &lt; 2 mu m size fractions represented on the average 46%, 25.1% and 28.9% of the total integrated Chi. a stock in the upper 100 m, respectively. The phytoplankton assemblage was diverse, mainly composed of large diatoms and dinoflagellate cells which contributed 42.7% and 33.1% of the autotrophic carbon biomass, respectively. Moving northwards, in parallel with the decrease in biomass, the biomass of autotrophic pico- and nanoflagellates (mainly Cryptophytes) increased steadily. In the POOZ, the picoplanktonic size fraction contributed 47.4% of the total integrated Chi. a stock. A phytoplankton community structure with low biomass and picoplankton-dominated assemblage in the POOZ contrasted with the relatively rich, diverse and diatom-dominated assemblage in the SIZ. These differences reflect the spatial and temporal variations prevailing in the Southern Ocean pelagic ecosystem.</t>
  </si>
  <si>
    <t>Univ Paris 06, UMR CNRS 7621, Lab Arago, F-66650 Banyuls sur Mer, France; Free Univ Brussels, B-1050 Brussels, Belgium</t>
  </si>
  <si>
    <t>Centre National de la Recherche Scientifique (CNRS); CNRS - National Institute for Earth Sciences &amp; Astronomy (INSU); Sorbonne Universite; Universite Libre de Bruxelles</t>
  </si>
  <si>
    <t>Fiala, M (corresponding author), Univ Paris 06, UMR CNRS 7621, Lab Arago, F-66650 Banyuls sur Mer, France.</t>
  </si>
  <si>
    <t>10.1016/S0924-7963(98)00037-2</t>
  </si>
  <si>
    <t>WOS:000077463500013</t>
  </si>
  <si>
    <t>Melnikov, IA</t>
  </si>
  <si>
    <t>Winter production of sea ice algae in the western Weddell Sea</t>
  </si>
  <si>
    <t>winter production; sea ice algae; Weddell Sea</t>
  </si>
  <si>
    <t>Short- and long-term series of observations were carried out during the US-Russian Ice Station Weddell no. 1 (ISW-1) Expedition, 1992, in the western Weddell Sea. The goal of in situ observations was to assess the winter biological dynamics within the I-year and newly formed sea ice. It was shown that at the initial stage of ice formation, there is a period of mechanical harvesting of plankton cells from the sea water. In this period, the biomass of ice algae was 10-20 times lower, in terms of chlorophyll a concentration, than that of the underlying phytoplankton. A remarkable increase in chlorophyll a content begins when the ice is 30-40-cm thick and environmental conditions are more favourable for algal growth. As a rule, reproduction of algae in the newly formed ice takes place within the lower layer of ice and close to the skeletal layer, where sea water with high nutrient concentrations is transported to the cells through brine channels during oscillation processes. By contrast, the highest concentrations of chlorophyll a in the 1-year ice were found within the upper layers. It was shown that chlorophyll a concentrations produced by the sea ice algae within both the young and the 1-year sea ice were always remarkably higher than chlorophyll a concentrations in the sea water below the ice. These results also indicate that winter production by ice algae in the extensive Antarctic sea ice zone should be considered an important factor in future biological models of the Southern Ocean.</t>
  </si>
  <si>
    <t>Russian Acad Sci, PP Shirshov Oceanol Inst, Moscow 117851, Russia</t>
  </si>
  <si>
    <t>Melnikov, IA (corresponding author), Russian Acad Sci, PP Shirshov Oceanol Inst, Nakhimovsky Pr 36, Moscow 117851, Russia.</t>
  </si>
  <si>
    <t>10.1016/S0924-7963(98)00038-4</t>
  </si>
  <si>
    <t>WOS:000077463500014</t>
  </si>
  <si>
    <t>Murphy, EJ; Boyd, PW; Leakey, RJG; Atkinson, A; Edwards, ES; Robinson, C; Priddle, J; Bury, SJ; Robins, DB; Burkill, PH; Savidge, G; Owens, NJP; Turner, D</t>
  </si>
  <si>
    <t>Carbon flux in ice-ocean-plankton systems of the Bellingshausen Sea during a period of ice retreat</t>
  </si>
  <si>
    <t>Bellingshausen Sea; carbon flux; sea-ice; fronts; plankton; microbial</t>
  </si>
  <si>
    <t>SCOTIA-WEDDELL SEA; SOUTHERN-OCEAN; PHYTOPLANKTON PRODUCTION; COMMUNITY RESPIRATION; BRANSFIELD STRAIT; ATLANTIC SECTOR; COASTAL WATERS; AUSTRAL SUMMER; SPRING 1988; FRAM STRAIT</t>
  </si>
  <si>
    <t>Most analyses of marine microbial systems in the seasonally ice covered areas of the Southern Ocean have been based on data from the major embayment areas of the Ross and Weddell Seas. In this study data were collected at stations covering a range of regimes from full ice cover through to open water in the Bellingshausen Sea. A major feature of the production system was a rapid retreat of the ice-edge, which uncoupled the marginal ice zone from a phytoplankton bloom which remained associated with a frontal system. This bloom was maintained, and probably initiated, in an unusual environment generated by the interaction between the marginal ice zone and the front. Size-based analyses of the microbial system were derived for ice-covered, recently ice-covered and open water sites. Estimates of standing stocks and key rate processes were combined to produce a single food web network for each station. The under-ice system was one of low production and low recycling but apparently high retention. As the ice retreated the microbial systems to the north began to develop, but these were constrained by grazing pressure. The bloom in the area appeared to be sustained even though estimated losses were far higher than production, although the high sedimentation losses expected were not observed. The carbon flow networks are discussed in relation to the environmental changes and the interaction of the marginal ice zone and the frontal system appears crucial to the phytoplankton. Microzooplankton grazing is implicated as a major controlling factor. The local microbial dynamics are strongly influenced by material which was produced at an earlier time and somewhere else in the Southern Ocean.</t>
  </si>
  <si>
    <t>British Antarctic Survey, NERC, Cambridge CB3 0ET, England; Queens Univ Belfast, Marine Biol Stn, Portaferry, Co Down, North Ireland; Plymouth Marine Lab, NERC, Plymouth, Devon, England; Univ Wales, Sch Ocean Sci, Bangor, Gwynedd, Wales; Scottish Univ Res &amp; Reactor Ctr, Glasgow, Lanark, Scotland; Univ Newcastle Upon Tyne, Dept Marine Sci &amp; Coastal Manangement, Newcastle Upon Tyne NE1 7RU, Tyne &amp; Wear, England; Chalmers Univ Technol, S-41296 Gothenburg, Sweden; Univ Gothenburg, Gothenburg, Sweden</t>
  </si>
  <si>
    <t>UK Research &amp; Innovation (UKRI); Natural Environment Research Council (NERC); NERC British Antarctic Survey; Queens University Belfast; UK Research &amp; Innovation (UKRI); Natural Environment Research Council (NERC); Plymouth Marine Laboratory; Bangor University; Scottish Universities Research &amp; Reactor Center; Newcastle University - UK; Chalmers University of Technology; University of Gothenburg</t>
  </si>
  <si>
    <t>Murphy, EJ (corresponding author), British Antarctic Survey, NERC, High Cross,Madingley Rd, Cambridge CB3 0ET, England.</t>
  </si>
  <si>
    <t>Robinson, Carol/F-7649-2011; murphy, eugene/GZL-1620-2022; Owens, Nicholas John Paul/GRX-5013-2022; Owens, Nicholas/B-6639-2015; Bury, Sarah/JLN-0810-2023; Robinson, Carol/AAW-1857-2021; Turner, David R/A-7870-2010; Atkinson, Angus/HOH-3417-2023; Boyd, Philip/J-7624-2014</t>
  </si>
  <si>
    <t>Robinson, Carol/0000-0003-3033-4565; Owens, Nicholas John Paul/0000-0001-7972-7285; Owens, Nicholas/0000-0003-4245-5858; Robinson, Carol/0000-0003-3033-4565; Turner, David R/0000-0002-2891-2664; Boyd, Philip/0000-0001-7850-1911; Fileman, Elaine/0000-0002-7795-7535</t>
  </si>
  <si>
    <t>10.1016/S0924-7963(98)00039-6</t>
  </si>
  <si>
    <t>WOS:000077463500015</t>
  </si>
  <si>
    <t>Smith, RC; Baker, KS; Vernet, M</t>
  </si>
  <si>
    <t>Seasonal and interannual variability of phytoplankton biomass west of the Antarctic Peninsula</t>
  </si>
  <si>
    <t>phytoplankton; LTER; Antarctic Peninsula</t>
  </si>
  <si>
    <t>OCEAN</t>
  </si>
  <si>
    <t>The spatial and temporal variability of phytoplankton biomass, estimated as chlorophyll-a (chl-a) concentration, is examined in the continental shelf-slope region west of the Antarctic Peninsula. Relationships between temporal observations in the nearshore Palmer Station grid (64 degrees 46.77'S, 64 degrees 04.36'W) and spatial observations in a larger regional grid 200 km on/off-shore and 900 km alongshore are presented. Average chi-a concentrations in the upper layers of the water column in the immediate vicinity of Palmer Station show strong seasonal and interannual variability. Biomass accumulation typically starts during mid-November, while strong blooms develop from December through January. The 1991/1992 and 1994/1995 seasons developed higher overall chi-a concentrations (average maximum water column values reaching 8 and 16 mg chi-a m(-3), respectively) than the 1992/1993 and 1993/1994 seasons (average maximum water column values of less than 3 mg chi-a m(-3)). The 1994/1995 season of extremely high chi-a concentrations also showed a prolonged bloom period into February, while the 1991/1992 season did not. Similar interannual variability was observed in the regional grid. Average chi-a concentration in the top 30 m was 0.91, 1.24 and 1.66 mg chi-a m(-3) for January of 1993, 1994 and 1995, respectively. The regional grid contains an on/off-shore gradient in bottom topography, measured physical and optical characteristics, as well as chi-a concentrations. Regional inshore grid stations in January had, on average, almost four times more chi-a biomass than off-shore stations (2.18 vs. 0.59 mg chi-a m(-3), respectively). There is evidence that this on/off-shore gradient is modulated alongshore by latitudinal variability which follows the annual advance and retreat of sea ice.</t>
  </si>
  <si>
    <t>Univ Calif Santa Barbara, Dept Geog, Inst Computat Earth Syst Sci, UCMBO, Santa Barbara, CA 93106 USA; Univ Calif San Diego, Scripps Inst Oceanog, MRD, UCMBO, La Jolla, CA 92093 USA</t>
  </si>
  <si>
    <t>University of California System; University of California Santa Barbara; University of California System; University of California San Diego; Scripps Institution of Oceanography</t>
  </si>
  <si>
    <t>Smith, RC (corresponding author), Univ Calif Santa Barbara, Dept Geog, Inst Computat Earth Syst Sci, UCMBO, Santa Barbara, CA 93106 USA.</t>
  </si>
  <si>
    <t>10.1016/S0924-7963(98)00040-2</t>
  </si>
  <si>
    <t>WOS:000077463500016</t>
  </si>
  <si>
    <t>Smith, RC; Baker, KS; Byers, ML; Stammerjohn, SE</t>
  </si>
  <si>
    <t>Primary productivity of the Palmer Long Term Ecological Research area and the Southern Ocean</t>
  </si>
  <si>
    <t>primary productivity; Southern Ocean; LTER; remote sensing</t>
  </si>
  <si>
    <t>ICE MICROBIAL COMMUNITIES; SURFACE SOLAR IRRADIANCE; SEA ICE; WEDDELL SEA; ROSS SEA; NUTRIENT DISTRIBUTIONS; MARINE PHOTOSYNTHESIS; PHYTOPLANKTON BLOOMS; BACTERIAL PRODUCTION; ANTARCTIC PENINSULA</t>
  </si>
  <si>
    <t>A major objective of the Palmer Long Term Ecological Research (Palmer LTER) project is to obtain a comprehensive understanding of the various components of the Antarctic marine ecosystem. Phytoplankton production plays a key role in this so-called high nutrient, low chlorophyll environment, and factors that regulate production include those that control cell growth (Light, temperature, and nutrients) and those that control cell accumulation rate and hence population growth (water column stability, grazing, and sinking). Sea ice mediates several of these factors and frequently conditions the water column for a spring bloom which is characterized by a pulse of production restricted in both time and space. This study models the spatial and temporal variability of primary production within the Palmer LTER area west of the Antarctic Peninsula and discusses this production in the context of historical data for the Southern Ocean. Primary production for the Southern Ocean and the Palmer LTER area have been computed using both light-pigment production models [Smith, R.C., Bidigare, R.R., Prezelin, B.B., Baker, K.S., Brooks, J.M., 1987. Optical characterization of primary productivity across a coastal front. Mar. Biol. (96), 575-591; Bidigare, R.R., Smith, R.C., Baker, K.S., Marra, J., 1987. Oceanic primary production estimates from measurements of spectral irradiance and pigment concentrations. Global Biogeochem. Cycles (1), 171-186; Morel, A., Berthon, J.F., 1989. Surface pigments, algal biomass profiles and potential production of the euphotic layer-relationships reinvestigated in view of remote-sensing applications. Limnol. Oceanogr. (34), 1545-1562] and an ice edge production model [Nelson, D.M., Smith, W.O., 1986. Phytoplankton bloom dynamics of the western Ross Sea ice edge: II. Mesoscale cycling of nitrogen and silicon. Deep-Sea Res. (33), 1389-1412; Wilson, D.L., Smith, W.O., Nelson, D.M., 1986. Phytoplankton bloom dynamics of the Western Ross Sea ice edge: I. primary productivity and species-specific production. Deep-Sea Res., 33, 1375-1387; Smith, W.O., Nelson, D.M., 1986. Importance of ice edge phytoplankton production in the Southern Ocean. BioScience (36), 251-257]. Chlorophyll concentrations, total photosynthetically available radiation (PAR) and sea ice concentrations were derived from satellite data. These same parameters, in addition to hydrodynamic conditions, have also been determined from shipboard and Palmer Station observations during the LTER program. Model results are compared, sensitivity studies evaluated, and productivity of the Palmer LTER region is discussed in terms of its space time distribution, seasonal and interannual variability, and overall contribution to the marine ecology of the Southern Ocean.</t>
  </si>
  <si>
    <t>Univ Calif Santa Barbara, Inst Computat Earth Syst Sci, UCMBO, Dept Geog, Santa Barbara, CA 93106 USA; Univ Calif San Diego, Scripps Inst Oceanog, MRD, UCMBO, La Jolla, CA 92093 USA</t>
  </si>
  <si>
    <t>Univ Calif Santa Barbara, Inst Computat Earth Syst Sci, UCMBO, Dept Geog, Santa Barbara, CA 93106 USA.</t>
  </si>
  <si>
    <t>ray@icess.ucsb.edu</t>
  </si>
  <si>
    <t>STAMMERJOHN, SHARON/0000-0002-1697-8244</t>
  </si>
  <si>
    <t>10.1016/S0924-7963(98)00041-4</t>
  </si>
  <si>
    <t>WOS:000077463500017</t>
  </si>
  <si>
    <t>Ross, RM; Quetin, LB; Haberman, KL</t>
  </si>
  <si>
    <t>Interannual and seasonal variability in short-term grazing impact of Euphausia superba in nearshore and offshore waters west of the Antarctic Peninsula</t>
  </si>
  <si>
    <t>interannual; seasonal; grazing; Euphausia superba</t>
  </si>
  <si>
    <t>FEEDING RATES; KRILL; SALPS; BEHAVIOR; THALIACEA; TUNICATA</t>
  </si>
  <si>
    <t>Our focus in this paper is the interaction between macrozooplanktonic grazers and primary producers, and the interannual and seasonal variability in the Palmer Long-Term Ecological Research (Palmer LTER) study region from Anvers Island to Adelaide Island. Short-term grazing estimates are calculated by integrating (1) theoretical and experimental estimates of ingestion rates in response to the standing stock of phytoplankton, and (2) field measurements of phytoplankton standing stock and grazer biomass. Field data come from three austral summer cruises (January/February of 1993, 1994, and 1995) and one sequence of seasonal cruises (summer, fall and winter 1993). The relative and absolute abundance of the dominant macrozooplankton grazers, Euphausia superba and Salpa thompsoni, varied by at least an order of magnitude on the spatial and temporal scales observed. Mean grazing rates ranged from 0.4 to 9.0 mu g chlorophyll m(-2) h(-1) for the Antarctic krill and salp populations over the three summer cruises. This leads to variability in the flow of carbon from the primary producers through the grazers on the same scales. Temporal and spatial variability in grazing impact and faecal pellet production are high.</t>
  </si>
  <si>
    <t>Univ Calif Santa Barbara, Inst Marine Sci, Santa Barbara, CA 93106 USA; Univ Calif Santa Barbara, Dept Biol Sci, Santa Barbara, CA 93106 USA</t>
  </si>
  <si>
    <t>University of California System; University of California Santa Barbara; University of California System; University of California Santa Barbara</t>
  </si>
  <si>
    <t>Ross, RM (corresponding author), Univ Calif Santa Barbara, Inst Marine Sci, Santa Barbara, CA 93106 USA.</t>
  </si>
  <si>
    <t>10.1016/S0924-7963(98)00042-6</t>
  </si>
  <si>
    <t>WOS:000077463500018</t>
  </si>
  <si>
    <t>Priddle, J; Boyd, IL; Whitehouse, MJ; Murphy, EJ; Croxall, JP</t>
  </si>
  <si>
    <t>Estimates of Southern Ocean primary production - constraints from predator carbon demand and nutrient drawdown</t>
  </si>
  <si>
    <t>predator; carbon requirement; nutrient</t>
  </si>
  <si>
    <t>CRAB-EATER SEALS; LOBODON-CARCINOPHAGUS; ARCTOCEPHALUS-GAZELLA; TOP PREDATORS; WEDDELL SEA; BIOCHEMICAL-COMPOSITION; BIOOPTICAL PROPERTIES; ANTARCTIC PENINSULA; BODY-COMPOSITION; METABOLIC RATES</t>
  </si>
  <si>
    <t>In view of the wide range of estimates for the total primary production for the Southern Ocean south of the Subantarctic Front-current estimates range from 1.2 to 3.5 Gtonne C year(-1) -we have examined two indirect methods for assessing primary production. First, we have estimated the primary production needed to sustain the carbon requirements of the endotherm top predators in the ecosystem. Estimation of the carbon requirements for crabeater seals of about 7 Mtonne C year(-1) is extrapolated to a value for all endotherm predators of 15-30 Mtonne C year(-1). Current data indicate that 70-80% of the diet of this suite of predators is zooplankton (predominantly the euphausiid krill), making for highly efficient transfer from primary production to top predators. Our best estimate of Southern Ocean primary production by this method is of the order of 1.7 Gtonne C year(-1), or an averaged areal primary production of about 30-40 g C m(-2) year(-1). Our second approach is to estimate primary production from the drawdown of inorganic nutrients, based on the Limited suite of studies from which an annual nutrient deficit can be calculated. Again, this indicates annual primary production of the order of 1.5 Gtonne. Although both methods have inherent uncertainties, taken together they provide a relatively robust constraint on annual primary production. For both methods to underestimate primary production by the 1-1.5 Gtonne C implied by the higher current estimates, carbon export from the Southern Ocean pelagic ecosystem would need to be much higher than is normally found in other oceans.</t>
  </si>
  <si>
    <t>Priddle, J (corresponding author), British Antarctic Survey, NERC, Madingley Rd,High Cross, Cambridge CB3 0ET, England.</t>
  </si>
  <si>
    <t>10.1016/S0924-7963(98)00043-8</t>
  </si>
  <si>
    <t>WOS:000077463500019</t>
  </si>
  <si>
    <t>Le Fèvre, J; Legendre, L; Rivkin, RB</t>
  </si>
  <si>
    <t>Fluxes of biogenic carbon in the Southern Ocean:: roles of large microphagous zooplankton</t>
  </si>
  <si>
    <t>biogenic carbon; microphagous zooplankton; krill; sedimentation; copepods; apex predators; salps</t>
  </si>
  <si>
    <t>MARGINAL ICE-ZONE; PHYTOPLANKTON BLOOM DYNAMICS; KRILL EUPHAUSIA-SUPERBA; COPEPOD FECAL PELLETS; WESTERN WEDDELL SEA; MIDWATER FOOD WEB; ROSS SEA; MCMURDO SOUND; ANTARCTIC KRILL; VERTICAL FLUX</t>
  </si>
  <si>
    <t>The Southern Ocean is an extreme environment, where waters are permanently cold, a seasonal ice cover extends over large areas, and the solar energy available for photosynthesis is severely restricted, either by vertical mixing to considerable depths or, especially south of the Antarctic Circle, by prolonged seasonal periods of low or no irradiance. Such conditions would normally lead to low productivity and a water column dominated by recycling processes involving microbial components of pelagic communities but this does not seem to be the case in the Southern Ocean, where there is efficient export to large apex predators and deep waters. This paper investigates the role of large microphagous zooplankton (salps, krill, and some large copepods) in the partitioning of biogenic carbon among the pools of short- and long-lived organic carbon and sequestered biogenic carbon. Large microphagous zooplankton are able to ingest microbial-sized particles and thus repackage small, non-sinking particles into both metazoan biomass and large, rapidly sinking faeces. Given the wide spatio-temporal extent of microbial trophic pathways in the Southern Ocean, large zooplankton that are omnivorous or able to ingest small food particles have a competitive advantage over herbivorous zooplankton. Krill efficiently transfer carbon to a wide array of apex predators and their faecal pellets are exported to depth during occasional brief sedimentation episodes in spring time. Salps may be a significant link towards some fish (directly) and other apex predators (indirectly) and, at some locations (especially in offshore waters) and time, they may account for most of the downward flux of biogenic carbon. Large copepods are a trophic link towards fish and at least one whale species, and their grazing activity generally impedes the export of organic particles to depth. As a result, biogenic carbon is channelled mainly towards apex predators and episodically into the deep ocean. Without these original interactions, Antarctic waters might well be dominated by microbial components and recycling processes instead of active export from the generally small primary producers towards large apex predators.</t>
  </si>
  <si>
    <t>Univ Bretagne Occidentale, Inst Europeen Mer, UMR CNRS 6539, F-29280 Plouzane, France; Univ Laval, Dept Biol, Quebec City, PQ G1K 7P4, Canada; Mem Univ Newfoundland, Ctr Ocean Sci, St John, NF A1C 5S7, Canada</t>
  </si>
  <si>
    <t>Centre National de la Recherche Scientifique (CNRS); Ifremer; Institut de Recherche pour le Developpement (IRD); Universite de Bretagne Occidentale; Institut Universitaire Europeen de la Mer (IUEM); Laval University; Memorial University Newfoundland</t>
  </si>
  <si>
    <t>Le Fèvre, J (corresponding author), Univ Bretagne Occidentale, Inst Europeen Mer, UMR CNRS 6539, Pl Nicolas Copernic,Technopole Brest Iroise, F-29280 Plouzane, France.</t>
  </si>
  <si>
    <t>lefevre@univ-brest.fr</t>
  </si>
  <si>
    <t>10.1016/S0924-7963(98)00047-5</t>
  </si>
  <si>
    <t>WOS:000077463500023</t>
  </si>
  <si>
    <t>Alcaraz, M; Saiz, E; Fernandez, JA; Trepat, I; Figueiras, F; Calbet, A; Bautista, B</t>
  </si>
  <si>
    <t>Antarctic zooplankton metabolism: carbon requirements and ammonium excretion of salps and crustacean zooplankton in the vicinity of the Bransfield Strait during January 1994</t>
  </si>
  <si>
    <t>zooplankton; respiratory metabolism; ammonia excretion; Bransfield strait; Antarctica</t>
  </si>
  <si>
    <t>AUSTRAL SUMMER; WEDDELL SEA; ICE-EDGE; THALIACEA; TUNICATA; PHYTOPLANKTON; VARIABILITY; PLANKTON; REGION; RATES</t>
  </si>
  <si>
    <t>Metabolic rates (oxygen consumption and ammonia excretion) of zooplankton were determined during the austral summer (January 1994), in the eastern Bransfield Strait. The study area comprised four distinct hydrographic zones: the ice edge on the western Weddell Sea, the waters of Weddell Sea origin, the southern part of the Weddell-Scotia Confluence, and the waters of Bellingshausen origin. The objectives were to estimate the fraction of primary production accounted for by the metabolism of salps and crustacean zooplankton, as well as the contribution of their excretion to the nitrogen demand of phytoplankton. Biomass-specific respiration and excretion rates of zooplankton were measured simultaneously by incubation methods at in situ temperatures. Zooplankton biomass was measured as organic C on aliquots of samples taken between 0 and 200 m. Primary production was measured by C-14 incorporation, using photosynthesis-irradiance relationships. Primary production ranged from 179 to 1612 mg C m(-2) day(-1). Salps were the most abundant zooplankton group, located mainly in the northern part of the study area, where they excluded other zooplankters. Their biomass ranged from 115 to 2930 mg C m(-2) (0-200 m). On average, their metabolic carbon requirements represented about 5% of primary production per day, and their excretion of ammonia contributed 10% of daily phytoplankton nitrogen demand. Crustacean zooplankton were of minor importance in the study area, except at the ice edge and areas of recently melted ice. Their biomass ranged from 14.5 to 494 mg C m(-2) and they required on average 0.9% of daily primary production, while ammonia excretion accounted for around 0.4% of the phytoplankton nitrogen demand. During this cruise, salps were the most important zooplankton group from the point of view of the transfer of biogenic carbon and nitrogen recycling. However, the control exerted by zooplankton on primary producers was overall modest, and most of the phytoplankton carbon probably sedimented out of the water column.</t>
  </si>
  <si>
    <t>CSIC, Inst Ciencias Mar, E-08039 Barcelona, Spain; Univ Malaga, Fac Ciencias, Dept Fisiol Vegetal, E-29071 Malaga, Spain; CSIC, Inst Invest Marinas, E-36208 Vigo, Spain; Univ Malaga, Fac Ciencias, Dept Ecol, E-29071 Malaga, Spain</t>
  </si>
  <si>
    <t>Consejo Superior de Investigaciones Cientificas (CSIC); CSIC - Centro Mediterraneo de Investigaciones Marinas y Ambientales (CMIMA); CSIC - Instituto de Ciencias del Mar (ICM); Universidad de Malaga; Consejo Superior de Investigaciones Cientificas (CSIC); CSIC - Instituto de Investigaciones Marinas (IIM); Universidad de Malaga</t>
  </si>
  <si>
    <t>Alcaraz, M (corresponding author), CSIC, Inst Ciencias Mar, P Joan de Borbo S-N, E-08039 Barcelona, Spain.</t>
  </si>
  <si>
    <t>Figueiras, Francisco/A-5034-2008; Calbet, Albert/A-7779-2008; Fernandez, Janet/AAL-9590-2021; Saiz, Enric/K-4263-2014; Alcaraz, Miquel/B-6462-2015; Bautista Bueno, Begona/K-3447-2017</t>
  </si>
  <si>
    <t>Figueiras, Francisco/0000-0003-1810-4935; Calbet, Albert/0000-0003-1069-212X; Fernandez, Janet/0000-0002-0166-2001; Saiz, Enric/0000-0003-2611-0067; Alcaraz, Miquel/0000-0002-4803-2306; Bautista Bueno, Begona/0000-0001-8454-0116</t>
  </si>
  <si>
    <t>10.1016/S0924-7963(98)00048-7</t>
  </si>
  <si>
    <t>WOS:000077463500024</t>
  </si>
  <si>
    <t>Perissinotto, R; Pakhomov, EA</t>
  </si>
  <si>
    <t>The trophic role of the tunicate Salpa thompsoni in the Antarctic marine ecosystem</t>
  </si>
  <si>
    <t>Southern ocean; Lazarev Sea; Salpa thompsoni; chlorophyll-a; krill</t>
  </si>
  <si>
    <t>ORGANIC-MATTER TRANSPORT; MARGINAL ICE-ZONE; FECAL PELLETS; PIGMENT DESTRUCTION; COMMUNITY STRUCTURE; THALIA-DEMOCRATICA; PELAGIC TUNICATES; AUSTRAL SUMMER; FEEDING RATES; WEDDELL SEA</t>
  </si>
  <si>
    <t>During a repeat grid survey and drogue study carried out in austral summer 1994/95, the abundance and feeding activity of salps were estimated in the Lazarev Sea region from net tows and in situ measurements of gut fluorescence. Throughout the survey area, Salpa thompsoni accounted for &gt; 95% of the total salp stock while Ihlea racovitzai was consistently represented in very low abundances. Maximum densities of S. thompsoni, with approximate to 4000 ind. 1000 m(-3), were recorded in the Marginal Ice Zone (MIZ) in December when chlorophyll-a concentrations were well below 1 mg m(-3). A dramatic decrease in salp stock was observed at the beginning of January, when S. thompsoni virtually disappeared from the most productive area of the MIZ where chlorophyll-a concentrations had by then reached bloom levels of 1.5-3 mg (Chl-a) m(-3). In situ grazing measurements showed that throughout the cruise S. thompsoni exhibited the highest ingestion rates per individual of any of the most abundant components of the grazing pelagic community, with maxima of approximate to 160 mu g (pigm) ind.(-1) d(-1). These feeding rates are 3 to 5 times higher than those previously obtained using in vitro incubations. The total daily consumption of the population of S. thompsoni varied from 0.3 to 108% of daily primary production. We suggest that competitive removal of food by S. thompsoni, rather than direct predation, is responsible for the low krill abundances generally associated with salp swarms.</t>
  </si>
  <si>
    <t>Univ Ft Hare, Dept Zool, ZA-5700 Alice, South Africa; Rhodes Univ, Dept Zool &amp; Entomol, So Ocean Grp, ZA-6140 Grahamstown, South Africa</t>
  </si>
  <si>
    <t>University of Fort Hare; Rhodes University</t>
  </si>
  <si>
    <t>Perissinotto, R (corresponding author), Univ Durban Westville, Marine Sci Unit, Private Bag X54001, ZA-4000 Durban, South Africa.</t>
  </si>
  <si>
    <t>10.1016/S0924-7963(98)00049-9</t>
  </si>
  <si>
    <t>WOS:000077463500025</t>
  </si>
  <si>
    <t>Voronina, NM</t>
  </si>
  <si>
    <t>Comparative abundance and distribution of major filter-feeders in the Antarctic pelagic zone</t>
  </si>
  <si>
    <t>biomass; filter-feeders; Antarctic; plankton distribution; salps; copepods; production</t>
  </si>
  <si>
    <t>KRILL EUPHAUSIA-SUPERBA; WEDDELL SEA; ELEPHANT ISLAND; AUSTRAL SUMMER; PRYDZ BAY; ZOOPLANKTON; PENINSULA; BIOMASS; MACROZOOPLANKTON; VARIABILITY</t>
  </si>
  <si>
    <t>The filter-feeding plankton, herbivorous copepods, salps and euphausiids, form the basic level of metazoans in the Antarctic pelagic trophic web. This paper sets out to determine the comparative share of these taxonomic groups in the total biomass and annual production. Their most abundant representatives, four copepod species (Calanus propinquus, Calanoides acutus, Rhincalanus gigas and Metridia gerlachei), all salps and krill Euphausia superba were studied. For the first two groups net samples from six Russian expeditions in different sectors of the Antarctic were used. In total 752 samples from 118 stations were considered. The mean fresh biomass of filter-feeding copepods in the 0-1500 m layer was 18.0 g m(-2) and in the entire Antarctic 576 10(6) t. The biomass of salps in comparatively restricted rich regions exceeded 500 g m(-2) and in the remaining area was 1.2 +/- 0.8 g m(-2), giving a total quantity of 882 10(6) t. The krill abundance estimation was based on published data, using a map of its quantitative distribution compiled from commercial trawling made by Soviet fishing and scientific ships during 17 seasons [Parfenovich, S.S., 1980. O zakonomernostyakh razmeshcheniya i regionalnoi differentsiatsii mestoskoplenii krilya v Yuzhnom Okeane. VNIRO, Moskva, in Russian.]. Three main zones based on commercial characteristics were determined by this author: (I) zone of regular occurrence of dense concentrations; (2) zone of rare occurrence of concentrations; (3) zone of low-abundance dispersed krill. All available data on E. superba biomass in the Antarctic were grouped together according to these zones and their means were calculated. The biomass of krill was found to be 60.1 +/- 11.2, 3.3 +/- 1.3 and 0.8 +/- 0.4 g m(-2) fresh mass in zones i, 2 and 3, respectively, with a total of 272 10(6) t. All estimates are compared with the literature data and their validity is discussed. For the annual production determinations the obtained biomass characteristics were multiplied by published P/B coefficients. For the copepods its value was taken as 4.4 and for krill as 0.79. The total annual production of copepods was estimated as 2534 10(6) t and that of krill as 215 10(6) t (fresh mass). Salp production could not be evaluated, for lack of a sufficient database. In terms of fresh mass, the main share of filter-feeder biomass on the entire Antarctic scale belongs to salps, due to their local maxima; the second place belongs to copepods and krill comes in the third position. But after recalculation in terms of dry mass, copepods shift to the first place and salps to the last. The annual production of copepods significantly exceeds that of krill.</t>
  </si>
  <si>
    <t>Russian Acad Sci, PP Shirshov Oceanol Inst, Nakhimov Prospect 36, Moscow 117851, Russia.</t>
  </si>
  <si>
    <t>trat@trat.msk.ru</t>
  </si>
  <si>
    <t>10.1016/S0924-7963(98)00050-5</t>
  </si>
  <si>
    <t>WOS:000077463500026</t>
  </si>
  <si>
    <t>Mayzaud, P; Errhif, A; Bedo, A</t>
  </si>
  <si>
    <t>Distribution of plankton lipids and their role in the biological transformation of Antarctic primary production</t>
  </si>
  <si>
    <t>plankton lipids; biological transformation; Antarctic primary production</t>
  </si>
  <si>
    <t>KRILL EUPHAUSIA-SUPERBA; PARTICULATE MATTER; RHINCALANUS-GIGAS; WEDDELL SEA; BIOCHEMICAL-COMPOSITION; ZOOPLANKTON COMMUNITY; POPULATION-STRUCTURE; CALANUS-SIMILLIMUS; CALANOIDES-ACUTUS; SEASONAL-CHANGES</t>
  </si>
  <si>
    <t>Production and transfer of lipid through the Antarctic food web is reviewed for the Indian Ocean sector. The slow settling fine particles showed a marked inter-annual variability in biochemical composition with an increase in lipid content as % organic carbon. Comparison of the fatty acid spectra of different size categories of organic particles indicated that fine particles are dominated by saturated, monoenoic and branched acids, while larger material (50-100 mu m, 200-500 mu m net collected fractions) displayed a signature dominated by polyunsaturated acids. Zooplankton taxa displayed different strategies of lipid accumulation. Lipid content was highest in Thysanoessa macrura females and copepodite stages of Calanus propinquus. Relatively low levels were recorded for juveniles and male stages of euphausiids. Reserve lipids varied with species: C. propinquus showed equal content of triglycerides and wax esters, T. macrura showed a dominance of wax esters and Euphausia superba and Themisto gaudichaudii accumulated only triglycerides. Computed as carbon equivalent and integrated over 200 m, lipids in slow settling particles represented 22.6% of annual primary production. Similar computation with mesozooplankton and E. superba data on biomass and population structure from several summer cruises indicated values of carbon accumulation as Lipid reserves and egg production of 4.2 and 0.1% of annual primary production for copepods and 4.4 and 3.8% for E. superba. When all trophic levels are considered, the overall mean exceeded 30% of annual primary production.</t>
  </si>
  <si>
    <t>Observ Oceanol, URA CNRS 2077, Grp Oceanog Biochim &amp; Ecol, F-06230 Villefranche Sur Mer, France</t>
  </si>
  <si>
    <t>Sorbonne Universite</t>
  </si>
  <si>
    <t>Mayzaud, P (corresponding author), UPMC, ESA 7076, Grp Oceanog Biochim &amp; Ecol, BP 28, F-06230 Villefranche Sur Mer, France.</t>
  </si>
  <si>
    <t>mayzaud@ccrv.obs-vlfr.fr</t>
  </si>
  <si>
    <t>10.1016/S0924-7963(98)00051-7</t>
  </si>
  <si>
    <t>WOS:000077463500027</t>
  </si>
  <si>
    <t>Albertelli, G; Cattaneo-Vietti, R; Chiantore, M; Pusceddu, A; Fabiano, M</t>
  </si>
  <si>
    <t>Food availability to an Adamussium bed during the austral summer 1993/1994 (Terra Nova Bay, Ross Sea)</t>
  </si>
  <si>
    <t>food availability; Adamussium colbecki; organic matter flux; austral summer 1993-1991; Ross Sea</t>
  </si>
  <si>
    <t>SUSPENDED PARTICULATE MATTER; PHYTOPLANKTON BLOOM; ORGANIC-MATTER; ICE EDGE; SEDIMENTATION; CARBON; DENSITY; WATERS; TRAPS; FATE</t>
  </si>
  <si>
    <t>In the framework of the ROSSMIZE Project (Ross Sea Marginal Ice Zone Ecology) of the Italian Antarctic Research Programme (PNRA), the organic matter flux through the water column and its role on benthic communities have been taken in particular account. During the austral Summer 1993-1994, from December 27, 1993 to February 11, 1994, a study on this flux in shallow waters was carried out, in a station close to Terra Nova Bay Italian base (Ross Sea), at 40 m depth. This site is characterized by the filter-feeding Adamussium colbecki, a scallop which reaches high values of density (60 ind/m(2)) and biomass (120 g DW/m(2)). At the beginning of the sampling period, a sediment trap was positioned on the sea-bottom and samples were collected every 3-5 days, as well as temperature, salinity and fluorescence data from sea surface to bottom. Fluorescence profiles put in evidence a phytoplankton bloom occurring during the maximum water column stratification, in the last decade of January. Organic matter Bur through the water column showed rather constant values up to the 24th of January. Immediately after, a sudden increase took place (24-29 January), reaching 13.55 g/m(2)/d for TSM, 0.24 g/m(2)/d for lipids, 0.53 g/m(2)/d for proteins, 0.37 g/m(2)/d for carbohydrates, 0.69 g/m(2)/d and 0.1 g/m(2)/d for POC and PON, respectively, 0.5 and 2.8 mg/m(2)/d for chlorophyll-a and phaeopigments, in correspondence to the fluorescence-peak occurring in the same period. A. large part of the total flux was represented by oval faecal pellets, as accounted by microscopical observations of sedimented material. Most of the pellets were 200-300 mu m long, filled mainly by diatom frustules.</t>
  </si>
  <si>
    <t>Chiantore, M (corresponding author), Univ Genoa, Ist Sci Ambientali Marine, Corso Rainusso 14, I-16038 Genoa, Italy.</t>
  </si>
  <si>
    <t>isamge1@unige.it</t>
  </si>
  <si>
    <t>10.1016/S0924-7963(98)00053-0</t>
  </si>
  <si>
    <t>WOS:000077463500029</t>
  </si>
  <si>
    <t>Gutt, J; Starmans, A; Dieckmann, G</t>
  </si>
  <si>
    <t>Phytodetritus deposited on the Antarctic shelf and upper slope: its relevance for the benthic system</t>
  </si>
  <si>
    <t>phytodetritus; Antarctic shelf; benthic system</t>
  </si>
  <si>
    <t>SOUTHEASTERN WEDDELL SEA; PARTICULATE MATTER; FEEDING-ACTIVITY; FECAL PELLETS; PARTICLE-FLUX; ICE COVER; DEEP-SEA; SEDIMENTATION; PHYTOPLANKTON; HOLOTHURIANS</t>
  </si>
  <si>
    <t>Underwater photography was used to ascertain regional, seasonal, interannual or depth dependent variations in the occurrence of phytodetritus on the Antarctic seafloor in order to explain the patchy distribution patterns of the benthos. The information was obtained from an average of 63 photographs taken at each of 76 stations in the Weddell and Lazarev Sea along a 2300 km coastline during four austral summers between 1986 and 1991. In areas where the shelf was broader than 80 km, the sediment showed a significantly higher phytodetritus cover than on the narrower shelf. This can probably be explained by the lower current velocity on the broader shelf. Significantly higher percentages of phytodetritus cover were also found on the seafloor in areas where the megabenthos cover was relatively low. These results indicate that in areas with a low current velocity, organic particles sink relatively fast onto the seafloor where they are available mainly for deposit feeders. The generally more abundant filter feeders are better adapted to a higher current velocity which transports the particles mainly horizontally over longer periods. No significant relationships were found between other physical parameters and the occurrence of phytodetritus. Therefore, the results are also discussed under the aspect of a weak pelagic-benthic coupling, effected by the long-term development of the benthic system.</t>
  </si>
  <si>
    <t>Gutt, J (corresponding author), Alfred Wegener Inst Polar &amp; Marine Res, Postfach 120161, D-27515 Bremerhaven, Germany.</t>
  </si>
  <si>
    <t>Starmans, Andreas/0000-0001-8829-0054; Gutt, Julian/0000-0003-3773-9370</t>
  </si>
  <si>
    <t>10.1016/S0924-7963(98)00054-2</t>
  </si>
  <si>
    <t>WOS:000077463500030</t>
  </si>
  <si>
    <t>Smith, WO; Dunbar, RB</t>
  </si>
  <si>
    <t>The relationship between new production and vertical flux on the Ross Sea continental shelf</t>
  </si>
  <si>
    <t>production; vertical flux; Ross Sea; continental shelf</t>
  </si>
  <si>
    <t>ANTARCTIC PENINSULA REGION; SOUTHERN-OCEAN; PHYTOPLANKTON BIOMASS; SPATIAL PATTERNS; ORGANIC-CARBON; WEDDELL SEA; DEEP OCEAN; SEDIMENTATION; SURFACE; GROWTH</t>
  </si>
  <si>
    <t>The relationship between new production, as assessed by short-term isotopic incubations, and vertical flux, quantified by both short- and long-term deployments of sediment traps, was investigated on the Ross Sea continental shelf in austral summer, 1990 and 1992. Three sites were analyzed, the first in the western Ross Sea where surface waters were dominated by pennate diatoms, the second in the south-central Ross Sea where the prymnesiophyte Phaeocystis antarctica dominated, and the third in the northern region which was dominated by diatoms. We found that the flux at the western site varied by a factor of 3.6 over a 1-month period (from 18.4 to 65.4 mg C m(-2) day(-1)), whereas new production varied over nearly two orders of magnitude. At the Phaeocystis site, flux was much more variable. Although the temporally weighted flux averaged 7.34 mg C m(-2) day(-1), the flux at 570 m ranged from 0.5 to 74.8 mg C m(-2) day(-1), and the flux at 50 m in a floating trap reached 92.7 mg C m(-2) day(-1). New production ranged from 0.30 to 1.23 g C m(-2) day(-1). Primary production, new production and f-ratios at both sites decreased through time (mean February values of each were 42, 37 and 12% of January averages), but the seasonal decrease in vertical flux exhibited a significant time lag behind the productivity decrease. A carbon budget is constructed which suggests that heterotrophic mineralization within the water column is a significant removal term, and that substantial spatial variability in this term exists. The relationship between new production in the euphotic zone to that of export production is ambiguous in the Ross Sea, in part because isotopic methods quantify the material available for export on time scales that do not necessarily apply to processes which dominate export production. Integration of seasonal time scales, remineralization rates, and vertical flux rates is required to understand the quantitative relationships involved in export from the surface layer.</t>
  </si>
  <si>
    <t>Univ Tennessee, Dept Ecol &amp; Evolutionary Biol, Knoxville, TN 37996 USA; Rice Univ, Dept Geol &amp; Geophys, Houston, TX 77005 USA</t>
  </si>
  <si>
    <t>University of Tennessee System; University of Tennessee Knoxville; Rice University</t>
  </si>
  <si>
    <t>Smith, WO (corresponding author), Virginia Inst Marine Sci, Coll William &amp; Mary, Gloucester Point, VA 23062 USA.</t>
  </si>
  <si>
    <t>10.1016/S0924-7963(98)00057-8</t>
  </si>
  <si>
    <t>WOS:000077463500031</t>
  </si>
  <si>
    <t>Anderson, RF; Kumar, N; Mortlock, RA; Froelich, PN; Kubik, P; Dittrich-Hannen, B; Suter, M</t>
  </si>
  <si>
    <t>Late-Quaternary changes in productivity of the Southern Ocean</t>
  </si>
  <si>
    <t>productivity; Southern Ocean; opal; radionuclides; organic carbon</t>
  </si>
  <si>
    <t>PACIFIC-OCEAN; HIGH-LATITUDE; ATMOSPHERIC CO2; BIOGENIC SILICA; ORGANIC-CARBON; SEDIMENTS; PA-231; CIRCULATION; BERYLLIUM; ATLANTIC</t>
  </si>
  <si>
    <t>Paleoceanographic records based on new proxies of export production have been constructed for the South Atlantic sector of the Southern Ocean. A radionuclide-ratio proxy of particle flux (Be-10/Th-230) and the accumulation rate of authigenic uranium, which responds to the nux of organic carbon to the sea bed, both indicate a dramatic increase, compared to the present, in the export production of the Subantarctic zone (approximately the region between the present-day positions of the Subtropical Convergence and the Antarctic Polar Front) during glacial periods. If the South Atlantic is representative of the entire Southern Ocean, then export production in the Southern Ocean during the Last Glacial Maximum was substantially greater than at present. Previous studies, focusing on the burial of biogenic opal, failed to recognize the glacial increase in export production of the Southern Ocean because of a strong non-linearity between accumulation rates of opal and of organic carbon.</t>
  </si>
  <si>
    <t>Columbia Univ, Lamont Doherty Earth Observ, Palisades, NY 10964 USA; ETH Honggerberg, Inst Particle Phys, Paul Scherrer Inst, CH-8093 Zurich, Switzerland</t>
  </si>
  <si>
    <t>Columbia University; Swiss Federal Institutes of Technology Domain; ETH Zurich; Paul Scherrer Institute</t>
  </si>
  <si>
    <t>Columbia Univ, Lamont Doherty Earth Observ, Geochem Bldg,POB 1000, Palisades, NY 10964 USA.</t>
  </si>
  <si>
    <t>boda@ldeo.columbia.edu</t>
  </si>
  <si>
    <t>Anderson, Robert/0000-0002-8472-2494; Mortlock, Richard/0000-0002-6019-5941</t>
  </si>
  <si>
    <t>10.1016/S0924-7963(98)00060-8</t>
  </si>
  <si>
    <t>WOS:000077463500034</t>
  </si>
  <si>
    <t>Ceccaroni, L; Frank, M; Frignani, M; Langone, L; Ravaioli, M; Mangini, A</t>
  </si>
  <si>
    <t>Late Quaternary fluctuations of biogenic component fluxes on the continental slope of the Ross Sea, Antarctica</t>
  </si>
  <si>
    <t>Th-230(ex); glacial-interglacial; sediment core; palaeoproductivity; Ross Sea</t>
  </si>
  <si>
    <t>SOUTHERN-OCEAN; DEEP-SEA; SEDIMENT REDISTRIBUTION; INTERGLACIAL CHANGES; ORGANIC-CARBON; PARTICLE-FLUX; WEDDELL-SEA; PRODUCTIVITY; ATLANTIC; ACCUMULATION</t>
  </si>
  <si>
    <t>A sediment core, collected from the western part of the continental slope of the Ross Sea at 2380 m water depth, records events of the last two climatic cycles (250 kyr). A Th-230(ex)-based chronology was obtained and boundaries of the isotope stages were set assuming that biological productivity was enhanced during periods of less ice cover. Then, Th-230(ex)0, organic carbon, biogenic silica and biogenic Pa distributions were compared to the glacial-interglacial stage boundaries and corresponding ages of the delta(18)O record of Martinson et al. [Martinson, D.G., Pisias, N.G., Hays, J.D., Imbrie, J., Moore, T.C., Jr., Shackleton, N.J, 1987. Age dating and the orbital theory of the ice ages: development of a high-resolution 0 to 300,000-year chronostratigraphy. Quaternary Research, 27: 1-29]. Sediment accumulation rates ranged between 1.2 cm kyr(-1) in the isotope stage 6 and 3.8 cm kyr(-1) during the Holocene. Variations in the concentrations and fluxes of organic carbon, biogenic Pa biogenic silica and Mn gave information on palaeoclimate changes. Processes of sediment redistribution in the Ross Sea margin were enlightened from a comparison of the measured and expected fluxes of Th-230(ex). Calculation of the focusing-corrected accumulation rates of biogenic Ba enabled us to evaluate the export palaeoproductivity. Corrected accumulation rates of biogenic components and calculated palaeoproductivities were low, compared to the Antarctic Polar Front in the Atlantic sector, throughout the last two climatic cycles. Glacial-interglacial changes of sea ice cover and ventilation of the Ross Sea were probably major causes of variations in biogenic particle flux and distribution of redox-sensitive elements within the sediment column.</t>
  </si>
  <si>
    <t>CNR, Ist Geol Marina, I-40129 Bologna, Italy; Heidelberger Akad Wissensch, D-69120 Heidelberg, Germany</t>
  </si>
  <si>
    <t>Consiglio Nazionale delle Ricerche (CNR); Istituto di Scienze Marine (ISMAR-CNR); Ruprecht Karls University Heidelberg</t>
  </si>
  <si>
    <t>Langone, L (corresponding author), CNR, Ist Geol Marina, Via Gobetti 101, I-40129 Bologna, Italy.</t>
  </si>
  <si>
    <t>langone@igm.bo.cnr.it</t>
  </si>
  <si>
    <t>, leonardo.langone@ismar.cnr.it/D-8139-2011; Ravaioli, Mariangela/B-7589-2015</t>
  </si>
  <si>
    <t>Frank, Martin/0000-0002-8606-4421; Ravaioli, Mariangela/0000-0001-6858-8013</t>
  </si>
  <si>
    <t>10.1016/S0924-7963(98)00061-X</t>
  </si>
  <si>
    <t>WOS:000077463500035</t>
  </si>
  <si>
    <t>Bareille, G; Labracherie, M; Bertrand, P; Labeyrie, L; Lavaux, G; Dignan, M</t>
  </si>
  <si>
    <t>Glacial-interglacial changes in the accumulation rates of major biogenic components in Southern Indian Ocean sediments</t>
  </si>
  <si>
    <t>Southern Indian Ocean; glacial period; Holocene; biogenic components</t>
  </si>
  <si>
    <t>ANTARCTIC CIRCUMPOLAR CURRENT; GEOCHEMICAL EVIDENCE; SILICA ACCUMULATION; ATLANTIC SEDIMENTS; ATMOSPHERIC CO2; LAST GLACIATION; ORGANIC-MATTER; DEEP-SEA; ROSS SEA; URANIUM</t>
  </si>
  <si>
    <t>In this study we compare major biogenic components (opal-G carbonate, and organic carbon) and authigenic uranium accumulation rates from the southeastern Indian Ocean for both Holocene and glacial periods. Integrated accumulation rates across the whole Indian sector of the Southern Ocean indicate that the burial of organic carbon which is held approximately constant, contrasts with lower biogenic silica and carbonate burial rates during glacial intervals. In addition, higher glacial accumulation rates of authigenic uranium are found in the sediments of the Polar Front Zone (PFZ) and the Sub-Antarctic zone (SAZ) than anywhere in the modem Southern Ocean. This suggests more reducing conditions in the PFZ and SAZ during the last glacial maximum. The simplest explanation of a northward shift of the PFZ cannot explain such changes. Glacial sediment burial changes result probably from deep water decrease in oxygen levels and increase in CO, due to combination of two processes: (1) hydrologic changes and (2) continuous organic carbon export fluxes to the seafloor. Such shifts in chemical conditions could have enhanced the dissolution of carbonates and better preserved the organic carbon in sediments, leading in significant changes of biogenic silica/C(org) and CaCO(3)/C(org) flux ratios.</t>
  </si>
  <si>
    <t>Univ Bordeaux 1, Dept Geol &amp; Oceanog, UMR EPOC 5805 CNRS, F-33405 Talence, France; CEA, CNRS, Lab Mixte, Ctr Faibles Radioact, F-91198 Gif Sur Yvette, France</t>
  </si>
  <si>
    <t>Universite de Bordeaux; Centre National de la Recherche Scientifique (CNRS); Centre National de la Recherche Scientifique (CNRS); CEA; Universite Paris Saclay</t>
  </si>
  <si>
    <t>Bareille, G (corresponding author), Univ Bordeaux 1, Dept Geol &amp; Oceanog, UMR EPOC 5805 CNRS, F-33405 Talence, France.</t>
  </si>
  <si>
    <t>bareille@geocean.u-bordeaux.fr</t>
  </si>
  <si>
    <t>Bareille, Gilles/AAS-3113-2020; Labeyrie, Laurent Denis/AAV-8405-2021</t>
  </si>
  <si>
    <t>Labeyrie, Laurent Denis/0000-0002-1554-2449</t>
  </si>
  <si>
    <t>10.1016/S0924-7963(98)00062-1</t>
  </si>
  <si>
    <t>WOS:000077463500036</t>
  </si>
  <si>
    <t>Pichon, JJ; Sikes, EL; Hiramatsu, C; Robertson, L</t>
  </si>
  <si>
    <t>Comparison of U37k' and diatom assemblage sea surface temperature estimates with atlas derived data in holocene sediments from the southern west Indian Ocean</t>
  </si>
  <si>
    <t>alkenone unsaturation index; Southern West-Indian Ocean; Holocene sediments</t>
  </si>
  <si>
    <t>LONG-CHAIN ALKENONES; PALEOTEMPERATURE ESTIMATION; DISSOLUTION; CALIBRATION; ATLANTIC; WATERS</t>
  </si>
  <si>
    <t>Holocene surface sediments, taken with interface multicorers (cruise ANTARES 1) on two transects located on longitudes 56 degrees E and 58 degrees E, and from 41 degrees S to 52 degrees S, i.e., across the Subtropical, Subantarctic and Polar Front Zones, are studied. Based on micropalaeontologic data (diatoms, coccoliths and foraminifera), these samples are considered to represent the last 2000 years. Phytoplankton (coccoliths and diatoms) abundance and species composition are determined and quantitatively related to the February sea-surface temperature (SST) derived from the NOAA Atlas 1994 (between 15.7 and 3.7 degrees C). The coccolithophorid Emiliania huxleyi and the diatom Nitzschia kerguelensis are the dominant species in each microfossil group. Di- and tri-unsaturated long chain C-37 alkenones (produced by Prymnesiophyceae phytoplankton) were extracted from 13 surface sediments. Comparison of alkenone unsaturation ratios (U-37(k')) with present day February SST revealed an apparently linear relationship, however the data scatter increases between 7 degrees C and 4 degrees C. The temperatures calculated using the U-37(k')-temperature calibration of Sikes and Volkman [Sikes, E.L., Volkman, J.K., 1993. Calibration of alkenone unsaturation ratios (U-3(k')) for paleotemperatures estimation in cold waters. Geochim. Cosmochim. Acta 57, 1883-1889.] show that temperature estimates are accurate within the range 16 degrees C-8 degrees C, but less reliable between 8 degrees C and 3.7 degrees C. The estimated U-37(k')-based temperatures were compared to those obtained from Antarctic diatom distributions using the Modem Analog Technique (MAT). The usefulness of both techniques as indicators of past SST records is demonstrated.</t>
  </si>
  <si>
    <t>Univ Bordeaux 1, Dept Geol &amp; Oceanog, URA CNRS 197, F-33405 Talence, France; Univ Tasmania, Antarctic Cooperat Res Ctr, Hobart, Tas 7001, Australia; Australian Natl Univ, Dept Geol, Canberra, ACT 0200, Australia; Japex Res Ctr, Mihama Ku, Chiba 261, Japan</t>
  </si>
  <si>
    <t>Universite de Bordeaux; University of Tasmania; Australian National University</t>
  </si>
  <si>
    <t>Pichon, JJ (corresponding author), Univ Bordeaux 1, Dept Geol &amp; Oceanog, URA CNRS 197, Ave Fac, F-33405 Talence, France.</t>
  </si>
  <si>
    <t>10.1016/S0924-7963(98)00063-3</t>
  </si>
  <si>
    <t>WOS:000077463500037</t>
  </si>
  <si>
    <t>Pondaven, P; Fravalo, C; Ruiz-Pino, D; Tréguer, P; Quéguiner, B; Jeandel, C</t>
  </si>
  <si>
    <t>Modelling the silica pump in the Permanently Open Ocean Zone of the Southern Ocean</t>
  </si>
  <si>
    <t>silicon; Southern Ocean; modelling; ecosystem; biogeochemical cycles; nitrogen; carbon</t>
  </si>
  <si>
    <t>MARIAE-LEBOURIAE DINOPHYCEAE; LIMITED CONTINUOUS CULTURE; ENCLOSED WATER COLUMN; SUB-ARCTIC PACIFIC; ANTARCTIC PHYTOPLANKTON; SKELETONEMA-COSTATUM; CELL-SIZE; NITROGEN-METABOLISM; AMMONIUM LIMITATION; TRANSIENT-RESPONSE</t>
  </si>
  <si>
    <t>A coupled 1D physical-biogeochemical model has been built to simulate the cycles of silicon and of nitrogen in the Indian sector of the Permanently Open Ocean Zone of the Southern Ocean. Based on a simplified trophic network, that includes two size classes of phytoplankton and of zooplankton, and a microbial loop, it has been calibrated by reference to surface physical, chemical and biological data sets collected at the KERFIX time-series station (50 degrees 40'S-68 degrees 25'E). The model correctly reproduces the high nutrient low chlorophyll features typical of the studied area. In a region where the spring-summer mixed layer depth is usually deeper than 60 m, the maximum of chlorophyll never exceeds 1.5 mg m(-3), and the annual primary production is only 68 g C m(-2) year(-1). In the surface layer nitrate is never exhausted (range 27-23.5 mmoles m(-3)) while silicic acid shows strong seasonal variations (range 5-20 mmoles m(-3)). On an annual basis 71% of the primary production sustained by nanophytoplankton is grazed by microzooplankton. Compared to North Atlantic, siliceous microphytoplankton is mainly prevented from blooming because of an unfavourable spring-summer Light-mixing regime. Silicic acid limitation (high half saturation constant for Si uptake: 8 mmoles m(-3)) also plays a major role on diatom growth. Mesozooplankton grazing pressure excerpts its influence especially in late spring. The model illustrates the efficiency of the silica pump in the Southern Ocean: up to 63% of the biogenic silica that has been synthetized in the photic layer is exported towards the deep ocean, while only 11% of the particulate organic nitrogen escapes recycling in the surface layer.</t>
  </si>
  <si>
    <t>Univ Bretagne Occidentale, Inst Europeen Mer, UMR CNRS 6539, F-29285 Brest, France; Univ Paris 06, LPCM, F-75005 Paris, France; Observ Midi Pyrenees, CNRS, CNES, UMR 39, F-31400 Toulouse, France</t>
  </si>
  <si>
    <t>Universite de Bretagne Occidentale; Centre National de la Recherche Scientifique (CNRS); Ifremer; Institut de Recherche pour le Developpement (IRD); Sorbonne Universite; Centre National de la Recherche Scientifique (CNRS); Universite de Toulouse; Universite Toulouse III - Paul Sabatier</t>
  </si>
  <si>
    <t>Fravalo, C (corresponding author), Univ Bretagne Occidentale, Inst Europeen Mer, UMR CNRS 6539, Pl Nicolas Copernic,Technopole Brese Iroise, F-29280 Plouzane, France.</t>
  </si>
  <si>
    <t>pondaven@univ-brest.fr; fravalo@univ-brest.fr</t>
  </si>
  <si>
    <t>Treguer, Paul/H-6064-2012; Jeandel, Catherine/P-3789-2014; Quéguiner, Bernard/B-4060-2008</t>
  </si>
  <si>
    <t>Jeandel, Catherine/0000-0002-4915-4719; Quéguiner, Bernard/0000-0001-5020-8297; Pondaven, Philippe/0000-0002-3427-7767</t>
  </si>
  <si>
    <t>10.1016/S0924-7963(98)00066-9</t>
  </si>
  <si>
    <t>WOS:000077463500040</t>
  </si>
  <si>
    <t>De Marino, S; Iorizzi, M; Palagiano, E; Zollo, F; Roussakis, C</t>
  </si>
  <si>
    <t>Starfish saponins.: 55.: Isolation, structure elucidation, and biological activity of the steroid oligoglycosides from an antarctic starfish of the family Asteriidae</t>
  </si>
  <si>
    <t>JOURNAL OF NATURAL PRODUCTS</t>
  </si>
  <si>
    <t>POLYHYDROXYLATED MARINE STEROIDS; GLYCOSIDE SULFATES; STEREOCHEMICAL ASSIGNMENTS; GUAIACUM-OFFICINALE; HALITYLE-REGULARIS; POLYHYDROXYSTEROIDS; ASTEROSAPONINS; ECHINASTERIDAE; ASTEROIDEA; AMURENSIS</t>
  </si>
  <si>
    <t>This paper reports an analysis of the chemical constituents from an Antarctic starfish of the family Asteriidae. Different steroid glycoside types are represented among its constituents, including the five hexaglycoside steroidal sulfates (asterosaponins) asteriidosides A-E (1-5), differing in their oligosaccharide chain, and the two nonsulfated diglycosides asteriidoside F (6) and G (7), in which 6 is the 26-methyl analogue of 7. Also present are the two sulfated diglycosides asteriidoside H (8) and I (9) and one sulfated monoglycoside asteriidoside L (10). Eight of the compounds were tested against human nonsmall-cell lung carcinoma cells (NSCLC-L16) and found to be moderately cytotoxic.</t>
  </si>
  <si>
    <t>Univ Naples Federico II, Dipartimento Chim Sostanze Nat, I-80131 Naples, Italy; Univ Molise, Dipartimento Sci &amp; Tecnol Agroalimentari Ambienta, I-86100 Campobasso, Italy; Fac Pharm, Inst Subst &amp; Organismes Mer, F-44035 Nantes 01, France</t>
  </si>
  <si>
    <t>University of Naples Federico II; University of Molise; Nantes Universite</t>
  </si>
  <si>
    <t>Univ Naples Federico II, Dipartimento Chim Sostanze Nat, Via D Montesano 49, I-80131 Naples, Italy.</t>
  </si>
  <si>
    <t>fzollo@cds.unina.it</t>
  </si>
  <si>
    <t>De Marino, Simona/AAZ-5662-2021; Iorizzi, Maria/F-4491-2012</t>
  </si>
  <si>
    <t>Iorizzi, Maria/0000-0002-8653-6628; Zollo, Franco/0000-0002-2004-5711; De Marino, Simona/0000-0002-0300-5048</t>
  </si>
  <si>
    <t>0163-3864</t>
  </si>
  <si>
    <t>1520-6025</t>
  </si>
  <si>
    <t>J NAT PROD</t>
  </si>
  <si>
    <t>J. Nat. Prod.</t>
  </si>
  <si>
    <t>10.1021/np970500e</t>
  </si>
  <si>
    <t>Plant Sciences; Chemistry, Medicinal; Pharmacology &amp; Pharmacy</t>
  </si>
  <si>
    <t>Science Citation Index Expanded (SCI-EXPANDED); Index Chemicus (IC)</t>
  </si>
  <si>
    <t>Plant Sciences; Pharmacology &amp; Pharmacy</t>
  </si>
  <si>
    <t>145EN</t>
  </si>
  <si>
    <t>WOS:000077358200001</t>
  </si>
  <si>
    <t>Döhler, G</t>
  </si>
  <si>
    <t>Effect of ultraviolet radiation on pigmentation and nitrogen metabolism of antarctic phytoplankton and ice algae</t>
  </si>
  <si>
    <t>JOURNAL OF PLANT PHYSIOLOGY</t>
  </si>
  <si>
    <t>UV-A; UV-B; Antarctic phytoplankton; ice algae; pigments; nitrogen metabolism</t>
  </si>
  <si>
    <t>UV-B RADIATION; MARINE-PHYTOPLANKTON; INORGANIC NITROGEN; AMINO-ACIDS; HAPTOPHYCEAN PAVLOVA; OZONE DEPLETION; ASSIMILATION; IMPACT; N-15-AMMONIUM; IRRADIANCE</t>
  </si>
  <si>
    <t>Antarctic phytoplankton and ice algae were exposed to UV-A or W-B radiation under laboratory conditions during the &lt;&gt; cruise (ANT XII/2) in Antarctica (23, 11, 1994 to 5, 1, 1995). The pattern of pigments varied in dependence on the dose and the UV source used as well as on the nitrogen compound applied. UV-B radiation in conjunction with addition of (NH4+)-N-15 caused a reduction of the main pigment contents of phytoplankton from the water column: the damaging effect was more pronounced at a relatively high UV-B dose (1.2 or 1.6 W m(-2)) whereas UV-A radiation led to an increase in the main pigments. A UV-B irradiance of 5 h caused a strong reduction of all the pigment contents from ice algae after addition of N-15-nitrate (60 mu mol/L) compared with the effects after N-15-ammonium (60 mu mol/L). Uptake rates of N-15-ammonium and N-15-nitrate of phytoplankton and ice algae were more affected by UV-B than by UV-A radiation. Nitrate uptake was more reduced by UV than that of ammonium. Patterns of pools and N-15 labelled free amino acids of phytoplankton and ice algae varied in dependence of the W source applied and inorganic nitrogen compound. N-15 incorporation into all amino acids of phytoplankton was markedly reduced after addition of N-15-nitrate and 3 h UV radiation. UV-B radiation and addition of N-15-ammonium led also to a strong reduction of N-15 labelling of all amino acids except for glutamine. However, UV-A irradiance had no significant effect. Patterns of free amino acid pools of phytoplankton samples varied in dependence of the UV source: no effect or an increase in the pools after UV-A exposure. Patterns of free amino acids of ice algae were less affected by UV radiation than those of phytoplankton: pools of main amino acids were enhanced after 3 or 5 h UV radiation. Results are discussed with reference to the UV source applied and the species-dependent response of the Antarctic microalgae under field conditions. The influence of UV radiation on the key enzymes of nitrogen metabolism in conjunction to the pigments was another topic of the discussion.</t>
  </si>
  <si>
    <t>Univ Frankfurt, Inst Bot, D-60054 Frankfurt, Germany</t>
  </si>
  <si>
    <t>Goethe University Frankfurt</t>
  </si>
  <si>
    <t>Döhler, G (corresponding author), Univ Frankfurt, Inst Bot, Siesmayerstr 70, D-60054 Frankfurt, Germany.</t>
  </si>
  <si>
    <t>GUSTAV FISCHER VERLAG</t>
  </si>
  <si>
    <t>VILLENGANG 2, D-07745 JENA, GERMANY</t>
  </si>
  <si>
    <t>0176-1617</t>
  </si>
  <si>
    <t>J PLANT PHYSIOL</t>
  </si>
  <si>
    <t>J. Plant Physiol.</t>
  </si>
  <si>
    <t>144NN</t>
  </si>
  <si>
    <t>WOS:000077320800012</t>
  </si>
  <si>
    <t>Dingle, RV; Marenssi, SA; Lavelle, M</t>
  </si>
  <si>
    <t>High latitude Eocene climate deterioration: evidence from the northern Antarctic Peninsula</t>
  </si>
  <si>
    <t>JOURNAL OF SOUTH AMERICAN EARTH SCIENCES</t>
  </si>
  <si>
    <t>LA MESETA FORMATION; SEYMOUR-ISLAND; PALEOGENE; GRADIENTS</t>
  </si>
  <si>
    <t>Clay mineral, sedimentological and geochemical data show that the northern Antarctic Peninsula (Seymour Island, La Meseta Formation) experienced a climatic deterioration from very warm, non-seasonally wet conditions at the end of the Palaeogene global optimum (early Middle Eocene similar to 47 Ma) to a latest Eocene (post similar to 34 Ma) regime that was cold, frost-prone and relatively dry. During the middle Middle Eocene there was an episode of strongly seasonal wet conditions, after which the climate was generally cool and humid. Overall, Eocene climatic trends in the Antarctic Peninsula mirror those recorded at ODP sites in the Southern Ocean. There is no evidence for glacial deposition on Seymour Island during either the latest Eocene (Submeseta) or the short Early Palaeocene (Sobral) cold episodes. Local Eocene climatic changes were registered by alterations in depositional and sedimentary characters of the La Meseta Formation, and reflect regional southern high latitude Palaeogene climatic mileu modulated by local tectonic events. (C) 1998 Elsevier Science Ltd. All rights reserved.</t>
  </si>
  <si>
    <t>Dingle, RV (corresponding author), Univ Copenhagen, Inst Geol, Oster Voldgade 10, DK-1350 Copenhagen, Denmark.</t>
  </si>
  <si>
    <t>0895-9811</t>
  </si>
  <si>
    <t>J S AM EARTH SCI</t>
  </si>
  <si>
    <t>J. South Am. Earth Sci.</t>
  </si>
  <si>
    <t>10.1016/S0895-9811(98)00035-2</t>
  </si>
  <si>
    <t>167TD</t>
  </si>
  <si>
    <t>WOS:000078648800004</t>
  </si>
  <si>
    <t>Cunningham, AP; Barker, PF; Tomlinson, JS</t>
  </si>
  <si>
    <t>Tectonics and sedimentary environment of the North Scotia Ridge region revealed by side-scan sonar</t>
  </si>
  <si>
    <t>GLORIA; Scotia Ridge; South Atlantic; accretionary wedges</t>
  </si>
  <si>
    <t>ANTARCTIC CIRCUMPOLAR CURRENT; SEA DEEP-WATER; SOUTH-ATLANTIC; WEDDELL SEA; SOUTHERNMOST ANDES; FALKLAND TROUGH; DRAKE PASSAGE; BANDA ARC; COMPLEX; GLORIA</t>
  </si>
  <si>
    <t>The North Scotia Ridge is a series of islands and submarine ridges extending 2000 km from Tierra dei Fuego to South Georgia in the western South Atlantic. The ridge forms the elevated northern tectonic margin of the Scotia Sea, and accommodates E-W sinistral strike-slip motion at the South American-Scotia plate boundary. Existing studies have shown that the northern flank of the North Scotia Ridge is a large and continuous accretionary prism, formed during presumed mid-late Cenozoic N-S convergence. In this study, we present long-range side-scan sonar (GLORIA) images and seismic reflection profiles which show the structural style of the accretionary prism for the first time. The youngest accreted sediments show a uniform fabric of initial deformation (symmetric-gently asymmetric folds of 1-4 km wavelength), which has been subsequently disrupted at shallower depths by additional shortening and uplift. Between 52 degrees 45'W and 50 degrees 30'W, the deformation front is exposed at the sea floor, and the Falkland Trough retains the appearance of an active convergent margin. Elsewhere, however, the deformation front is buried beneath younger, undeformed drift sediments indicating that convergence has ceased. GLORIA sonographs also show geological features consistent with current-control of sedimentation, non-deposition, and erosion beneath the Antarctic Circumpolar Current. In particular, this study describes current-influenced sedimentation in the Falkland Trough, and sleep-sided, eroded depressions and diffuse slope-parallel fabric on the elevated Falkland Plateau.</t>
  </si>
  <si>
    <t>Cunningham, AP (corresponding author), British Antarctic Survey, Madingley Rd, Cambridge CB3 0ET, England.</t>
  </si>
  <si>
    <t>UNIT 7, BRASSMILL ENTERPRISE CENTRE, BRASSMILL LANE, BATH, AVON, ENGLAND BA1 3JN</t>
  </si>
  <si>
    <t>10.1144/gsjgs.155.6.0941</t>
  </si>
  <si>
    <t>132PH</t>
  </si>
  <si>
    <t>WOS:000076638400005</t>
  </si>
  <si>
    <t>Asthana, R; Chaturvedi, A</t>
  </si>
  <si>
    <t>The grain-size behaviour and morphoscopy of supraglacial sediments, south of Schirmacher Oasis, E. Antarctica</t>
  </si>
  <si>
    <t>JOURNAL OF THE GEOLOGICAL SOCIETY OF INDIA</t>
  </si>
  <si>
    <t>sedimentology; supraglacial sediments; grain size analysis; Schirmacher Oasis; Antarctica</t>
  </si>
  <si>
    <t>The present study embodies the description of textural characteristics and quartz grain morphology (under SEM) of sediments occurring in three micro-environments on the polar ice sheet. Coarse to fine grained, largely ill-sorted sediments with a polymodal distribution reflect a varying magnitude in the velocity of the transporting medium. A dominant saltation population with little suspension and lack of rolling population is revealed by cumulative curves which suggests transportation of these supraglacial sediments by wind. The quarts grains bear two generations of mechanical textures and a third phase of chemical textures attributed to glacial and aeolian environments.</t>
  </si>
  <si>
    <t>Geol Survey India, Antarctic Div, Faridabad 121001, India</t>
  </si>
  <si>
    <t>Geological Survey India</t>
  </si>
  <si>
    <t>Asthana, R (corresponding author), Geol Survey India, Antarctic Div, Faridabad 121001, India.</t>
  </si>
  <si>
    <t>GEOLOGICAL SOC INDIA</t>
  </si>
  <si>
    <t>#64 12TH CROSS, BASAPPA LAYOUT P B 1922, GAVIPURAM PO, BANGALORE 560019, INDIA</t>
  </si>
  <si>
    <t>0016-7622</t>
  </si>
  <si>
    <t>J GEOL SOC INDIA</t>
  </si>
  <si>
    <t>J. Geol. Soc. India</t>
  </si>
  <si>
    <t>137DH</t>
  </si>
  <si>
    <t>WOS:000076899200008</t>
  </si>
  <si>
    <t>Kepner, RL; Wharton, RA; Suttle, CA</t>
  </si>
  <si>
    <t>Viruses in Antarctic lakes</t>
  </si>
  <si>
    <t>STRANDED DNA VIRUSES; BACTERIAL PRODUCTION; MARINE; ABUNDANCE; WATERS; EPIFLUORESCENCE; COMMUNITIES; MICROSCOPY; MORTALITY; PARTICLES</t>
  </si>
  <si>
    <t>Water samples collected from four perennially ice-covered Antarctic lakes during the austral summer of 1996-1997 contained high densities of extracellular viruses. Many of these viruses were found to be morphologically similar to double-stranded DNA viruses that are known to infect algae and protozoa. These constitute the first observations of viruses in perennially ice-covered polar lakes. The abundance of planktonic viruses and data suggesting substantial production potential (relative to bacterial secondary and photosynthetic primary production) indicate that viral lysis may be a major factor in the regulation of microbial populations in these extreme environments. Furthermore, we suggest that Antarctic lakes may be a reservoir of previously undescribed viruses that possess novel biological and biochemical characteristics.</t>
  </si>
  <si>
    <t>Univ Nevada, Desert Res Inst, Ctr Biol Sci, Reno, NV 89506 USA; Univ British Columbia, Dept Earth &amp; Ocean Sci, Vancouver, BC V6T 1Z4, Canada; Univ British Columbia, Dept Bot, Vancouver, BC V6T 1Z4, Canada; Univ British Columbia, Dept Microbiol &amp; Immunol, Vancouver, BC V6T 1Z4, Canada</t>
  </si>
  <si>
    <t>Nevada System of Higher Education (NSHE); University of Nevada Reno; Desert Research Institute NSHE; University of British Columbia; University of British Columbia; University of British Columbia</t>
  </si>
  <si>
    <t>Kepner, RL (corresponding author), Univ Nevada, Desert Res Inst, Ctr Biol Sci, Reno, NV 89506 USA.</t>
  </si>
  <si>
    <t>Suttle, Curtis A/C-3150-2008; suttle, c/N-1144-2019</t>
  </si>
  <si>
    <t>Suttle, Curtis A/0000-0002-0372-0033; suttle, c/0000-0002-0372-0033</t>
  </si>
  <si>
    <t>10.4319/lo.1998.43.7.1754</t>
  </si>
  <si>
    <t>143YK</t>
  </si>
  <si>
    <t>WOS:000077285000035</t>
  </si>
  <si>
    <t>Loscher, BM; de Jong, JTM; de Baar, HJW</t>
  </si>
  <si>
    <t>The distribution and preferential biological uptake of cadmium at 6°W in the Southern Ocean</t>
  </si>
  <si>
    <t>MARINE CHEMISTRY</t>
  </si>
  <si>
    <t>cadmium; phosphate; Southern Ocean</t>
  </si>
  <si>
    <t>NORTHEAST PACIFIC WATERS; NATURAL ORGANIC-LIGANDS; DISSOLVED TRACE-METALS; PARTICULATE MATTER; MARINE DIATOM; PHYTOCHELATIN PRODUCTION; SURFACE SEAWATER; INDIAN-OCEAN; ZINC; PHYTOPLANKTON</t>
  </si>
  <si>
    <t>The spatial and temporal distribution of cadmium (Cd) and phosphate in the Southern Ocean are related to biology and hydrography. During a period of 18 days between transects 5/6 and 11, a phytoplankton spring bloom developed in the Polar Frontal region. Upper water Cd concentrations were not depleted and ranged from 0.2 to 0.8 nM at about 10 m depth. These relatively high Cd concentrations are attributed to upwelling of Upper Circumpolar Deep Water (0.5-1.2 nM in the core) in combination with low biological productivity (0.2 to 0.3 mg m(-3) chlorophyll-a, 0.3 g C m(-2) d(-1)). Total particulate Cd concentrations at 40 m depth were between 0.02 and 0.14 nM with the maximum in concentration in the Polar Frontal region. Most of the particulate Cd at this depth (85-94%) was detected in the first phase of a sequential chemical leaching treatment which includes adsorbed Cd as well as Cd incorporated in algae. The Polar Frontal region was characterized by minima in Cd concentration and Cd/phosphate ratio of seawater at both transects; values were the lowest at transect 11 after development of the spring bloom which was dominated by diatoms. This decreasing Cd/phosphate ratio in seawater during spring bloom development was attributed to preferential Cd gross uptake which more than compensated the process of preferential Cd recycling. Within the Upper Circumpolar Deep Water, Cd showed a maximum in concentration similar to that of the major nutrients. Both the Cd concentration and the Cd/phosphate ratio of the deeper water increased in southern direction, from 0.4 to 0.7 nM and from 0.2 to 0.3 nM/mu M, respectively. Antarctic Intermediate Water has a Cd concentration of 0.21 nM with a Cd/phosphate ratio of 0.10 nM/mu M. In Antarctic Bottom Water, Cd concentrations ranged from 0.60 to 0.82 nM. (C) 1998 Elsevier Science B.V. All rights reserved.</t>
  </si>
  <si>
    <t>Netherlands Inst Sea Res, NL-1790 AB Den Burg, Texel, Netherlands</t>
  </si>
  <si>
    <t>Utrecht University; Royal Netherlands Institute for Sea Research (NIOZ)</t>
  </si>
  <si>
    <t>Netherlands Inst Sea Res, POB 59, NL-1790 AB Den Burg, Texel, Netherlands.</t>
  </si>
  <si>
    <t>bettina@nioz.nl</t>
  </si>
  <si>
    <t>de Jong, Jeroen/F-3190-2011</t>
  </si>
  <si>
    <t>0304-4203</t>
  </si>
  <si>
    <t>1872-7581</t>
  </si>
  <si>
    <t>MAR CHEM</t>
  </si>
  <si>
    <t>Mar. Chem.</t>
  </si>
  <si>
    <t>10.1016/S0304-4203(98)00045-0</t>
  </si>
  <si>
    <t>Chemistry, Multidisciplinary; Oceanography</t>
  </si>
  <si>
    <t>Chemistry; Oceanography</t>
  </si>
  <si>
    <t>114GK</t>
  </si>
  <si>
    <t>WOS:000075600600006</t>
  </si>
  <si>
    <t>Wang, MS; Lipschutz, ME</t>
  </si>
  <si>
    <t>Thermally metamorphosed carbonaceous chondrites from data for thermally mobile trace elements</t>
  </si>
  <si>
    <t>We report radiochemical neutron activation analysis (RNAA) data for U, Co, Au, Sb, Ga, Rb, Cs, Se, Ag, Te, Zn, In, Bi, Tl, and Cd (ordered by increasing ease of vaporization and loss from the Murchison CM2 chondrite during open-system heating) in nine Antarctic C2 and C3 chondrites. These meteorites exhibit properties (obtained by reflectance spectroscopy, O isotopic mass spectrometry and/or mineralogy-petrology) suggesting thermal metamorphism in their parent bodies. Five of these meteorites (Asuka (A) 881655, Yamato (Y) 793495, Y-790992, Pecora Escarpment (PCA) 91008, and Y-86789-paired with Y-86720) exhibit significant depletion of the most thermally mobile 1-5 trace elements, which is consistent with open-system loss during extended parent-body heating (under conditions duplicated by week-long heating of the Murchison C2 chondrite, heated at 500-700 degrees C in a low-pressure (initially 10(-5) atm) H-2 atmosphere). From earlier data, three other C3 chondrites-Allan Hills (ALH) 81003, ALH 85003, and Lewis Cliffs (LEW) 85332-show significant Cd depletion. Nine additional C2 and C3 chondrites show no evidence of mobile trace element depletion-including Y-793321, which by all other criteria was mildly metamorphosed thermally. Either metamorphism of these nine meteorites occurred under closed conditions and/or alteration took place under such mild conditions that even Cd could not be lost. The RNAA data suggest that 10 of the 46 Antarctic carbonaceous chondrites (including 4 of 37 from Victoria Land and 6 of 9 from Queen Maud Land) exhibit open-system loss of at least some thermally mobile trace elements by heating in their parent bodies, whereas none of the 25 non-Antarctic falls experienced this. These results are consistent with the idea that the Antarctic sampling of near-Earth material differs from that being sampled today.</t>
  </si>
  <si>
    <t>Purdue Univ, Dept Chem, W Lafayette, IN 47907 USA</t>
  </si>
  <si>
    <t>Purdue University System; Purdue University</t>
  </si>
  <si>
    <t>Lipschutz, ME (corresponding author), Purdue Univ, Dept Chem, BRWN WTHR Chem Bldg, W Lafayette, IN 47907 USA.</t>
  </si>
  <si>
    <t>10.1111/j.1945-5100.1998.tb01313.x</t>
  </si>
  <si>
    <t>147YY</t>
  </si>
  <si>
    <t>WOS:000077526400009</t>
  </si>
  <si>
    <t>Olson, JB; Steppe, TF; Litaker, RW; Paerl, HW</t>
  </si>
  <si>
    <t>N2-fixing microbial consortia associated with the ice cover of Lake Bonney, Antarctica</t>
  </si>
  <si>
    <t>MICROBIAL ECOLOGY</t>
  </si>
  <si>
    <t>CYANOBACTERIAL MATS; N-2 FIXATION; MARINE; ENVIRONMENT; DIVERSITY</t>
  </si>
  <si>
    <t>Nitrogen (N) availability is a key nutritional factor controlling microbial production in Antarctic freshwater and soil habitats. Since there are no significant sources of biologically available N entering these ecosystems, nitrogen fixation may be a major source of new N supporting primary and secondary production. The role of N-2 fixation was examined in cyanobacteria-dominated microbial aggregates embedded in the permanent ice cover of Lake Bonney, McMurdo Dry Valley (Victoria Land) lakes area, and in cyanobacterial mats found in soils adjacent to the ice edge. Nitrogenase activity was extremely low compared to temperate and tropical systems, but N-2 fixation was found at all study sites. N-2 fixation occurred under both dark and light conditions, indicating the potential involvement of both phototrophic and heterotrophic diazotrophs. Nitrogenase activity measurements (acetylene reduction assay) and molecular characterization (PCR amplification of nifH fragments) demonstrated a diverse and periodically active (when liquid water is present) diazotrophic community in this arid, nutrient-limited environment. As a result of the close proximity to other microorganisms and the nutritional constraints of this environment, these diazotrophs may be involved in mutually beneficial consortial relationships that enhance their growth when water is available.</t>
  </si>
  <si>
    <t>Univ N Carolina, Inst Marine Sci, Morehead City, NC 28557 USA; Univ N Carolina, Program Mol Biol &amp; Biotechnol, Chapel Hill, NC 27599 USA</t>
  </si>
  <si>
    <t>University of North Carolina; University of North Carolina Chapel Hill; University of North Carolina; University of North Carolina Chapel Hill</t>
  </si>
  <si>
    <t>Paerl, HW (corresponding author), Univ N Carolina, Inst Marine Sci, 3431 Arendell St, Morehead City, NC 28557 USA.</t>
  </si>
  <si>
    <t>Litaker, Richard Wayne/AAH-2036-2021</t>
  </si>
  <si>
    <t>Litaker, Richard Wayne/0000-0001-6293-8000</t>
  </si>
  <si>
    <t>0095-3628</t>
  </si>
  <si>
    <t>MICROBIAL ECOL</t>
  </si>
  <si>
    <t>Microb. Ecol.</t>
  </si>
  <si>
    <t>10.1007/s002489900110</t>
  </si>
  <si>
    <t>149CD</t>
  </si>
  <si>
    <t>WOS:000077586800002</t>
  </si>
  <si>
    <t>Takacs, CD; Priscu, JC</t>
  </si>
  <si>
    <t>Bacterioplankton dynamics in the McMurdo Dry Valley lakes, Antarctica: Production and biomass loss over four seasons</t>
  </si>
  <si>
    <t>BACTERIAL PRODUCTION; COASTAL WATERS; FRYXELL BASIN; VICTORIA LAND; COMMUNITY; FATE; METABOLISM; COLUMN; BONNEY; RATES</t>
  </si>
  <si>
    <t>Research of the microbial ecology of McMurdo Dry Valley lakes has concentrated primarily on phototrophs; relatively little is known about the heterotrophic bacterioplankton. Bacteria represent a substantial proportion of water column biomass in these lakes, comprising 30 to 60% of total microplankton biomass. Bacterial production and cell numbers were measured 3 to 5 times, within four Antarctic seasons (October to January), in Lakes Fryxell, Hoare, and Bonney. The winter-spring transition (September to October) was included during one year. Lake Fryxell was the most productive, but variable, lake, followed by Lakes Bonney and Hoare. Bacterial production ranged from 0 to 0.009 mu g C ml(-1) d(-1); bacterial populations ranged from 3.2 x 10(4) to 4.4 x 10(7) cells ml(-1). Bacterial production was always greatest just below the ice cover at the beginning of the season. A second maximum developed just above the chemocline of all the lakes, as the season progressed. Total bacterioplankton biomass in the lakes decreased as much as 88% between successive sampling dates in the summer, as evidenced by areal integration of bacterial populations; the largest decreases in biomass typically occurred in mid-December. A forward difference model of bacterial loss in the trophogenic zone and the entire water column of these lakes showed that loss rates in the summer reached 6.3 x 10(14) cells m(-2) d(-1) and 4.16 x 10(12) cells m(-2) d(-1), respectively. These results imply that bacteria may be a source of carbon to higher trophic levels in these lakes, through grazing.</t>
  </si>
  <si>
    <t>Montana State Univ, Dept Biol, Bozeman, MT 59717 USA</t>
  </si>
  <si>
    <t>Takacs, CD (corresponding author), Montana State Univ, Dept Biol, Bozeman, MT 59717 USA.</t>
  </si>
  <si>
    <t>takacs@montana.edu</t>
  </si>
  <si>
    <t>10.1007/s002489900111</t>
  </si>
  <si>
    <t>WOS:000077586800003</t>
  </si>
  <si>
    <t>Hughes, KA; Sutherland, IW; Jones, MV</t>
  </si>
  <si>
    <t>Biofilm susceptibility to bacteriophage attack: the role of phage-borne polysaccharide depolymerase</t>
  </si>
  <si>
    <t>MICROBIOLOGY-UK</t>
  </si>
  <si>
    <t>exopolysaccharide; biofilm; bacteriophage; virus; polysaccharide depolymerase</t>
  </si>
  <si>
    <t>LISTERIA-MONOCYTOGENES; BACTERIAL BIOFILMS; INFECTION; PROBES</t>
  </si>
  <si>
    <t>Biofilm bacteria Enterobacter agglomerans 53b and Serratia marcescens Serr were isolated from a food processing factory. A bacteriophage (SF153b), which could infect and lyse strain 53b, was isolated from sewage. This has been shown to possess a polysaccharide depolymerase enzyme specific for the exopolysaccharide (EPS) of strain 53b. Using batch culture and chemostat-linked Modified Robbins Device systems it was observed that SF153b could degrade the EPS of a mono-species biofilm (strain 53b) and infect the cells. The disruption of the biofilm by phage was a combination of EPS degradation by the depolymerase and infection and subsequent cell lysis by the phage. Strain Serr biofilms were not susceptible to the phage and the biofilm EPS was not degraded by the phage glycanase, with the result that the biofilm was unaffected by the addition of SF153b phage. Scanning electron microscopy confirmed that specific phage could extensively degrade susceptible biofilms and continue to infect biofilm bacteria whilst EPS degradation was occurring.</t>
  </si>
  <si>
    <t>British Antarctic Survey, Cambridge CB3 0ET, England; Univ Edinburgh, Inst Cell &amp; Mol Biol, Edinburgh EH9 3JH, Midlothian, Scotland; Unilever Res Lab, Wirral L63 3JW, Merseyside, England</t>
  </si>
  <si>
    <t>UK Research &amp; Innovation (UKRI); Natural Environment Research Council (NERC); NERC British Antarctic Survey; University of Edinburgh; Unilever</t>
  </si>
  <si>
    <t>Hughes, KA (corresponding author), British Antarctic Survey, High Cross,Madingley Rd, Cambridge CB3 0ET, England.</t>
  </si>
  <si>
    <t>k.hughes@bas.ac.uk</t>
  </si>
  <si>
    <t>Hughes, Kevin/JVZ-0793-2024</t>
  </si>
  <si>
    <t>SOC GENERAL MICROBIOLOGY</t>
  </si>
  <si>
    <t>MARLBOROUGH HOUSE, BASINGSTOKE RD, SPENCERS WOODS, READING, BERKS, ENGLAND RG7 1AE</t>
  </si>
  <si>
    <t>1350-0872</t>
  </si>
  <si>
    <t>MICROBIOL-UK</t>
  </si>
  <si>
    <t>Microbiology-(UK)</t>
  </si>
  <si>
    <t>10.1099/00221287-144-11-3039</t>
  </si>
  <si>
    <t>Microbiology</t>
  </si>
  <si>
    <t>138MJ</t>
  </si>
  <si>
    <t>WOS:000076975400012</t>
  </si>
  <si>
    <t>Meyer, JM; Stintzi, A; Coulanges, V; Shivaji, S; Voss, JA; Taraz, K; Budzikiewicz, H</t>
  </si>
  <si>
    <t>Siderotyping of fluorescent pseudomonads:: characterization of pyoverdines of Pseudomonas fluorescens and Pseudomonas putida strains from Antarctica</t>
  </si>
  <si>
    <t>Pseudomonas; iron metabolism; pyoverdine; siderophore</t>
  </si>
  <si>
    <t>MEDIATED IRON UPTAKE; BACTERIAL CONSTITUENTS; SIDEROPHORES; AERUGINOSA; ATCC-13525; IDENTIFICATION; PURIFICATION; FERRIBACTIN; BIOGENESIS; TRANSPORT</t>
  </si>
  <si>
    <t>Five independent fluorescent pseudomonad isolates originating from Antarctica were analysed for their pyoverdine systems. A pyoverdine-related siderotyping, which involved pyoverdine-induced growth stimulation, pyoverdine-mediated iron uptake, pyoverdine analysis by electrophoresis and isoelectric focusing, revealed three different pyoverdine-related siderotypes among the five isolates. One siderotype, including Pseudomonas fluorescens 1W and P. fluorescens 10CW, was identical to that of P. fluorescens ATCC 13525. Two other strains, P, fluorescens 9AW and Pseudomonas putida 9BW, showed identical pyoverdine-related behaviour to each other, whereas the fifth strain, P, fluorescens 51W, had unique features compared to the other strains or to a set of 12 fluorescent Pseudomonas strains used as comparison material. Elucidation of the structure of the pyoverdines produced by the Antarctic strains supported the accuracy of the siderotyping methodology by confirming that pyoverdines from strains 1W and 10CW had the same structures as the P. fluorescens ATCC 13525 pyoverdine, whereas the 9AW and 9BW pyoverdines are probably identical with the pyoverdine of P, fluorescens strain 244. Pyoverdine from strain 51W appeared to be a novel pyoverdine since its structure was different from all previously established pyoverdine structures. Together with the conclusion that the Antarctic Pseudomonas strains have no special features at the level of their pyoverdines and pyoverdine-mediated iron metabolism compared to worldwide strains, the present work demonstrates that siderotyping provides a rapid means of screening for novel pyoverdines.</t>
  </si>
  <si>
    <t>Univ Strasbourg 1, CNRS, UPRES A 7010, Lab Microbiol &amp; Genet, F-67000 Strasbourg, France; Ctr Cellular &amp; Mol Biol, Hyderabad 500007, Andhra Pradesh, India; Univ Cologne, Inst Organ Chem, D-50939 Cologne, Germany</t>
  </si>
  <si>
    <t>Centre National de la Recherche Scientifique (CNRS); Universites de Strasbourg Etablissements Associes; Universite de Strasbourg; Council of Scientific &amp; Industrial Research (CSIR) - India; CSIR - Centre for Cellular &amp; Molecular Biology (CCMB); University of Cologne</t>
  </si>
  <si>
    <t>Meyer, JM (corresponding author), Univ Strasbourg 1, CNRS, UPRES A 7010, Lab Microbiol &amp; Genet, 28 Rue Goethe, F-67000 Strasbourg, France.</t>
  </si>
  <si>
    <t>shivaji, sisinthy/0000-0003-0376-4658</t>
  </si>
  <si>
    <t>10.1099/00221287-144-11-3119</t>
  </si>
  <si>
    <t>WOS:000076975400021</t>
  </si>
  <si>
    <t>Redeker, V; Frankfurter, A; Rossier, J; Detrich, HW</t>
  </si>
  <si>
    <t>Posttranslational glutamylation of brain tubulins from the Antarctic fish Notothenia coriiceps.</t>
  </si>
  <si>
    <t>MOLECULAR BIOLOGY OF THE CELL</t>
  </si>
  <si>
    <t>CNRS, UMR 7637, Neurobiol Lab, F-75005 Paris, France; Northeastern Univ, Dept Biol, Boston, MA 02115 USA; Univ Virginia, Dept Biol, Charlottesville, VA 22901 USA</t>
  </si>
  <si>
    <t>Centre National de la Recherche Scientifique (CNRS); Northeastern University; University of Virginia</t>
  </si>
  <si>
    <t>Redeker, Virginie/L-8929-2018</t>
  </si>
  <si>
    <t>Redeker, Virginie/0000-0003-2694-8388</t>
  </si>
  <si>
    <t>AMER SOC CELL BIOLOGY</t>
  </si>
  <si>
    <t>PUBL OFFICE, 9650 ROCKVILLE PIKE, BETHESDA, MD 20814 USA</t>
  </si>
  <si>
    <t>1059-1524</t>
  </si>
  <si>
    <t>MOL BIOL CELL</t>
  </si>
  <si>
    <t>Mol. Biol. Cell</t>
  </si>
  <si>
    <t>150A</t>
  </si>
  <si>
    <t>137GQ</t>
  </si>
  <si>
    <t>WOS:000076906700868</t>
  </si>
  <si>
    <t>Ramsey, AM; Detrich, HW</t>
  </si>
  <si>
    <t>Molecular adaptation of brain kinesin from Antarctic fish.</t>
  </si>
  <si>
    <t>392A</t>
  </si>
  <si>
    <t>WOS:000076906702275</t>
  </si>
  <si>
    <t>Menzhinskaya, NA</t>
  </si>
  <si>
    <t>Dynamics of chlorophyll a concentration and species composition of algal communities of Antarctic Sea ice at early stages of its development</t>
  </si>
  <si>
    <t>MICROBIAL COMMUNITIES; MCMURDO-SOUND; MICROALGAE; GROWTH</t>
  </si>
  <si>
    <t>Changes of species composition of ice flora and chlorophyll a concentration in the sea ice in the coastal waters of Antarctica at early stages of its development were studied. It is emphasized, that at certain stages of the frazil ice, pancake ice and nilas there was transfer of alges from water to ice. Further growth. of ice and formation of consolidated structure resulted in domination of Fragilariopsis sublineata and Fr. kerguelensis, while the formation of friable structure created favorable conditions for development of fine cells of genus Nitzschia.</t>
  </si>
  <si>
    <t>Menzhinskaya, NA (corresponding author), PP Shirshov Oceanol Inst, Moscow, Russia.</t>
  </si>
  <si>
    <t>161JV</t>
  </si>
  <si>
    <t>WOS:000078286200009</t>
  </si>
  <si>
    <t>Udintsev, GB; Schenke, HW; Koltsova, AV; Knyazev, AB</t>
  </si>
  <si>
    <t>Propagating and diffused rifts in the West Antarctic</t>
  </si>
  <si>
    <t>SEA</t>
  </si>
  <si>
    <t>Marine geophysical researches were conucted during cruise 21 of r/v Akademik Boris Petrov (1995) under the German-Russian Project Geodynamics of the West Antarctic. The basis of this project is geokinematic monitoiing with modern techniques of satellite geodesy, based on a fundamental network established on several islands in the West Antarctic and on Antarctic Peninsula. The final aim of researches is to study the geodynamics on the basis of synthesis of results of geokinematic monitorign with the results of marine and land geological-geophysical observations. Marine researches in 1995 were limited with multibeam echosounding and gravity observations in the areas of detailed survey and along the tracks between the points of geodesic stations. The data obtained give a possibility to suppose the propagation of the rift from the midoceanic American-Antarctic Ridge into continental massives of the South Scotia Ridge and Antarctic Peninsula.</t>
  </si>
  <si>
    <t>VI Vernadskii Inst Geochem &amp; Analyt Chem, Moscow 117975, Russia; Alfred Wegener Inst Polar &amp; Marine Res, Bremerhaven, Germany</t>
  </si>
  <si>
    <t>Russian Academy of Sciences; Vernadsky Institute of Geochemistry &amp; Analytical Chemistry; Helmholtz Association; Alfred Wegener Institute, Helmholtz Centre for Polar &amp; Marine Research</t>
  </si>
  <si>
    <t>Udintsev, GB (corresponding author), VI Vernadskii Inst Geochem &amp; Analyt Chem, Moscow 117975, Russia.</t>
  </si>
  <si>
    <t>MAIK NAUKA-INTERPERIODIC PUBLISHING</t>
  </si>
  <si>
    <t>PROFSOYUZNAYA UL 90, MOSCOW, 00000, RUSSIA</t>
  </si>
  <si>
    <t>WOS:000078286200013</t>
  </si>
  <si>
    <t>Xu, XQ; Beardall, J; Hallam, ND</t>
  </si>
  <si>
    <t>Modification of fatty acid composition in halophilic Antarctic microalgae</t>
  </si>
  <si>
    <t>PHYTOCHEMISTRY</t>
  </si>
  <si>
    <t>Dunaliella; Chlorophyceae; fatty acids; salinity; sorbitol; osmotic pressure; microalga; Antarctica</t>
  </si>
  <si>
    <t>LIPID-COMPOSITION; DUNALIELLA-SALINA; ALGA; GROWTH</t>
  </si>
  <si>
    <t>The major fatty acids in two Dunaliella isolates originating from Antarctic hypersaline lakes were 18:3 omega 3, 16:0, 16:4 omega 3. 18:1 omega 9, 18:2 omega 6, and 16:1 omega 7. The relative amount of individual fatty acids was modified by partially,or fully replacing ionic osmotic pressure (Na+, K+ and Cl-) with molecular osmotic pressure (sorbitol) in the growth medium. The effects of sorbitol on the extent of cellular fatty acid unsaturation differed in the two isolates. The results suggest that the appropriate environment necessary for the growth of these halophilic species is a certain level of osmotic pressure in the medium, but that this can be provided by either ionic or molecular osmotic pressure, or a mixture of both. (C) 1998 Elsevier Science Ltd. All rights reserved.</t>
  </si>
  <si>
    <t>Monash Univ, Dept Ecol &amp; Evolut Biol, Clayton, Vic 3168, Australia</t>
  </si>
  <si>
    <t>Xu, XQ (corresponding author), Food Sci Australia, Melbourne Lab, Private Bag 16, Werribee, Vic 3030, Australia.</t>
  </si>
  <si>
    <t>Beardall, John/L-5262-2019; Beardall, John/A-1250-2008</t>
  </si>
  <si>
    <t>Beardall, John/0000-0001-7684-446X; Beardall, John/0000-0001-7684-446X</t>
  </si>
  <si>
    <t>0031-9422</t>
  </si>
  <si>
    <t>Phytochemistry</t>
  </si>
  <si>
    <t>10.1016/S0031-9422(98)00117-4</t>
  </si>
  <si>
    <t>Biochemistry &amp; Molecular Biology; Plant Sciences</t>
  </si>
  <si>
    <t>141CM</t>
  </si>
  <si>
    <t>WOS:000077125100014</t>
  </si>
  <si>
    <t>Green, TGA; Schroeter, B; Kappen, L; Seppelt, RD; Maseyk, K</t>
  </si>
  <si>
    <t>An assessment of the relationship between chlorophyll a fluorescence and CO2 gas exchange from field measurements on a moss and lichen</t>
  </si>
  <si>
    <t>PLANTA</t>
  </si>
  <si>
    <t>Bryum (photosynthesis); chlorophyll a fluorescence; electron transport; lichen (photosynthesis); photosynthesis; respiration</t>
  </si>
  <si>
    <t>PHOTOSYNTHETIC ACTIVITY; ELECTRON-TRANSPORT; GREEN-ALGAL; CARBON ASSIMILATION; PHOTOSYSTEM-II; LEAVES; CYANOBACTERIAL; PHOTOBIONTS; ACQUISITION; MAIZE</t>
  </si>
  <si>
    <t>The relationship between CO2 exchange and relative electron-transport rate through photosystem II (ETR, measured using chlorophyll a fluorescence) was determined for a moss and a green algal lichen, photobiont probably Trebouxia sp., in the field in Antarctica. Net photosynthesis (NP) and dark respiration (DR) were measured over temperatures from zero to 25 degrees C and gross photosynthesis (GP) calculated (GP = NP -t DR). The strong response of DR to temperature in these organisms resulted in substantial changes in CO2 exchange rates. The moss Bryum argenteum Hedw. showed a strong, linear relationship between GP and ETR. This was an unexpected result since mosses are C-3 plants and, in higher plants, this group normally has a curvilinear GP versus ETR relationship. It is suggested that suppression of DR in the light might be involved. The lichen, Umbilicaria aprina Nyl., had nonlinear relationships between ETR and GP that were different at each measurement temperature. In some cases the lowest ETR was at the higher CO2 exchange rates. It is suggested that these relationships are the result of strong quenching mechanisms that are inversely proportional to GP. The results support a growing impression that the relationships between ETR and CO2 exchange are complex in these organisms and different from those found fbr higher plants.</t>
  </si>
  <si>
    <t>Univ Waikato, Hamilton, New Zealand; Univ Kiel, Inst Bot, D-24098 Kiel, Germany; Australian Antarctic Programme, Kingston, Tas, Australia</t>
  </si>
  <si>
    <t>University of Waikato; University of Kiel; Australian Antarctic Division</t>
  </si>
  <si>
    <t>Green, TGA (corresponding author), Univ Waikato, Hamilton, New Zealand.</t>
  </si>
  <si>
    <t>0032-0935</t>
  </si>
  <si>
    <t>Planta</t>
  </si>
  <si>
    <t>10.1007/s004250050439</t>
  </si>
  <si>
    <t>134MD</t>
  </si>
  <si>
    <t>WOS:000076746100015</t>
  </si>
  <si>
    <t>Moore, GJ; Robertson, G; Wienerke, B</t>
  </si>
  <si>
    <t>Food requirements of breeding king penguins at Heard Island and potential overlap with commercial fisheries</t>
  </si>
  <si>
    <t>APTENODYTES-PATAGONICUS; CROZET-ISLANDS; DIET; CHICKS; POPULATION; BEHAVIOR; SUMMER; GROWTH; SQUID; PREY</t>
  </si>
  <si>
    <t>The diet composition of king penguins (Aptenodoytes patagonicus) at Heard Island (53 degrees 05'S; 73 degrees 30'E) was determined from stomach contents of 98 adults captured as they returned to the island throughout 1992. During the two growth seasons, the diet was dominated by the myctophid fish Krefftichthys anderssoni (94% by number, 48% by mass). The paralepidid fish Magnisudis prionosa contributed &lt;1% by numbers but 17% by mass. Mackerel icefish (Champsocephalus gunnari) accounted for 17% by mass of chick diet in late winter, when chicks were malnourished and prone to starvation, although its annual contribution to the penguins' diet was only 3%. Squid was consumed only between April and August; Martialia hyadesi was the commonest squid taken, comprising 40-48% of the winter diet. The remainder of the diet consisted of the squid Moroteuthis ingens and fish other than K. anderssoni. The energy content of the diet mix fed to the chicks varied seasonally being highest during the growth seasons (7.83 +/- 0.25 kJ g(-1)) and lowest in winter (6.58 +/- 0.19 kJ g(-1)). From energetic experiments we estimated that an adult penguin consumed 300 kg of food each, of which its chick received 55 kg during the 1992 season. The chicks received large meals at the beginning of winter (1.2 +/- 0.3 kg) and during the middle of the second growth season (1.2 +/- 0.3 kg), and their smallest meals in late winter (0.4 +/- 0.1 kg). The gross energy required to rear a king penguin chick was estimated to be 724 MJ. The potential impact of commercial fisheries on the breeding activities of king penguins is discussed.</t>
  </si>
  <si>
    <t>Moore, GJ (corresponding author), Natl Pk &amp; Wildlife Serv, POB 914, Coffs Harbour, NSW 2450, Australia.</t>
  </si>
  <si>
    <t>Moore, Gregory J/E-7184-2010</t>
  </si>
  <si>
    <t>10.1007/s003000050306</t>
  </si>
  <si>
    <t>129JT</t>
  </si>
  <si>
    <t>WOS:000076460600001</t>
  </si>
  <si>
    <t>Ling, HU; Seppelt, RD</t>
  </si>
  <si>
    <t>Snow algae of the windmill islands, continental Antarctica - 3. Chloromonas polyptera (Volvocales, Chlorophyta)</t>
  </si>
  <si>
    <t>A new name, Chloromonas hohamii, is proposed to accommodate a common North American snow alga previously incorrectly referred to as Chloromonas polyptera. Chloromonas hohamii differs in having the motile vegetative cells with a cup-shaped chloroplast opening in the anterior end of the cell, shorter, narrower, ellipsoidal to elongate to somewhat fusiform, sexual spores with non-spiralled wall flanges, shorter and narrower daughter cells derived from the spores, and it grows in snow of significantly lower pH and conductivity.</t>
  </si>
  <si>
    <t>Antarctic Div, Kingston, Tas 7050, Australia</t>
  </si>
  <si>
    <t>Ling, HU (corresponding author), Antarctic Div, Kingston, Tas 7050, Australia.</t>
  </si>
  <si>
    <t>10.1007/s003000050309</t>
  </si>
  <si>
    <t>WOS:000076460600004</t>
  </si>
  <si>
    <t>Kopczynska, EE; Fiala, M; Jeandel, C</t>
  </si>
  <si>
    <t>Annual and interannual variability in phytoplankton at a permanent station off Kerguelen Islands, Southern Ocean</t>
  </si>
  <si>
    <t>WEDDELL SEA; MICROBIAL COMMUNITY; PARTICULATE MATTER; PLANKTON DIATOMS; ANTARCTIC OCEAN; INDIAN-OCEAN; BIOMASS; SUMMER; SECTOR; NUTRIENTS</t>
  </si>
  <si>
    <t>From November 1992 to February 1995 a quantitative and qualitative phytoplankton study was conducted at a permanent station (Kerfix) southwest off the Kerguelen Islands, in the vicinity of the Polar Front (50 degrees 40'S-68 degrees 25'E). Phytoplankton populations are low in this area both during summers and winters. They consist, in order of decreasing cell abundance, of pico- and nanoflagellates (1.5-20 mu m), coccolithophorids (&lt;10 mu m), diatoms (5-80 mu m) and dinoflagellates (6-60 mu m). Flagellates form the dominant group throughout the year and attain the highest summer average of 3.0 x 10(5) cells l(-1). Next in abundance year-round are coccolithophorids with the dominant Emiliania huxleyi (highest summer 1992 average 1.9 x 10(5) cells l(-1)), diatoms (summer 1992 average 1.0 x 10(5) cells l(-1)) and dinoflagellates (average 3.8 x 10(4) cells l(-1)). Winter mean numbers of flagellates and picoplankton do not exceed 8.4 x 10(4) cells l(-1); those of the three remaining algal groups together attain 2 x 10(4) cells l(-1). Summer peaks of diatoms and dinoflagellates are mainly due to the larger size species (&gt; 20 mu m). The latter group contributes most to the total cell carbon biomass throughout the year. Dominant diatoms during summer seasons include: Fragilariopsis kerguelensis, Thalassionema nitzschioides, Chaetoceros dichaeta, C. atlanticus, Pseudonitzschia heimii, and P. barkleyi/lineola. This diatom dominance structure changes from summer to summer with only F. kerguelensis and T. nitzschioides retaining their first and second positions. Any one of the co-dominant species might be absent during some summer period. The variable diatom community structure may be due to southward meandering of the Polar Front bringing warmer species from the north, and to the mixing of the water masses in this area. The entire community structure characterized both during summer and winters by the dominance of flagellates can be related to deep mixing (ca. 40-200 m) of the water column as the probable controlling factor.</t>
  </si>
  <si>
    <t>Polish Acad Sci, Dept Antarctic Biol, PL-02141 Warsaw, Poland; Univ Paris 06, Lab Arago, CNRS, UMR7621, F-66650 Banyuls sur Mer, France; Observ Midi Pyrenees, CNRS, UMR 5566, F-31400 Toulouse, France</t>
  </si>
  <si>
    <t>Polish Academy of Sciences; Centre National de la Recherche Scientifique (CNRS); CNRS - National Institute for Earth Sciences &amp; Astronomy (INSU); Sorbonne Universite; Centre National de la Recherche Scientifique (CNRS); CNRS - National Institute for Earth Sciences &amp; Astronomy (INSU); Universite de Toulouse; Universite Toulouse III - Paul Sabatier; Institut de Recherche pour le Developpement (IRD); Laboratoire d'Etudes en Geophysique et oceanographie spatiales</t>
  </si>
  <si>
    <t>Kopczynska, EE (corresponding author), Polish Acad Sci, Dept Antarctic Biol, Ustrzycka 10, PL-02141 Warsaw, Poland.</t>
  </si>
  <si>
    <t>Jeandel, Catherine/P-3789-2014</t>
  </si>
  <si>
    <t>Jeandel, Catherine/0000-0002-4915-4719</t>
  </si>
  <si>
    <t>10.1007/s003000050312</t>
  </si>
  <si>
    <t>WOS:000076460600007</t>
  </si>
  <si>
    <t>Pestarino, M; Massari, M; Alberton, A; Candiani, S; Vallarino, M</t>
  </si>
  <si>
    <t>Distribution of immunoreactive multiple forms of gonadotropin-releasing hormone in the brain of the antarctic fish, Notothenia coriiceps</t>
  </si>
  <si>
    <t>CHICKEN GNRH-II; LAMPREY BRAIN; SALMON; MORPHOLOGY; TELEOSTS; NEURONS</t>
  </si>
  <si>
    <t>Previous studies have shown that different gonadotropin-releasing hormone (GnRH) molecular forms are present in different groups of bony fish. In the present study, we have investigated the possible influence of the antarctic environmental contributions upon the distribution and biochemical patterns of GnRH-related molecules. The immunocytochemical distribution of GnRH-like peptides has been studied in the brain of the antarctic fish, Notothenia coriiceps, using antisera raised against three variants of GnRH: mammalian (m-GnRH), chicken (cII-GnRH) and salmon (s-GnRH). cII-GnRH immunoreactivity appears confined to cell bodies located in the lateral hypothalamus, the ventral thalamus and the midbrain rostral tegmentum; immunoreactive nerve fibers densely innervated the hypothalamic periventricular region. By contrast, m-GnRH-like immunoreactive neurons are present exclusively in the tor trs semicircularis of the mesencephalon and in the outer plexiphorm layers of the optic tectum. These findings suggest that cII-GnRH-like peptides appear to function as hypophysiotropic factors, as demonstrated in other species of bony fish, whereas m-GnRH-like peptides could be involved in modulatory pathways of vestibular and visual functions of N. coriiceps. Incubation with s-GnRH antiserum failed to prove the occurrence of immunoreactive elements; consequently, at least two molecular forms related to cII-GnRH and m-GnRH seem to act as hypophysiotropic and neuromodulatory factors in the brain of Notothenia coriiceps. Moreover, m-GnRH immunoreactivity in ependymal tanycytes suggests the involvement of such specialized glial cells in neuroendocrine function by linking the cerebrospinal fluid and the median eminence, as demonstrated in mammals.</t>
  </si>
  <si>
    <t>Univ Genoa, Ist Anat Comparata, I-16132 Genoa, Italy</t>
  </si>
  <si>
    <t>Univ Genoa, Ist Anat Comparata, Viale Benedetto XV 5, I-16132 Genoa, Italy.</t>
  </si>
  <si>
    <t>mvallari@unige.it</t>
  </si>
  <si>
    <t>Pestarino, Mario/AAN-8128-2021; Candiani, Simona/P-8640-2014; Pestarino, Mario/B-9062-2011</t>
  </si>
  <si>
    <t>Candiani, Simona/0000-0002-4453-5475; Pestarino, Mario/0000-0003-1681-8950</t>
  </si>
  <si>
    <t>10.1007/s003000050313</t>
  </si>
  <si>
    <t>WOS:000076460600008</t>
  </si>
  <si>
    <t>Breed, AM; Goodwin, GL; Silby, JH</t>
  </si>
  <si>
    <t>Total electron content measurements in the southern hemisphere using GPS satellites, 1991 to 1995</t>
  </si>
  <si>
    <t>RADIO SCIENCE</t>
  </si>
  <si>
    <t>SLAB THICKNESS; MODELS</t>
  </si>
  <si>
    <t>The seasonal, diurnal, and latitudinal variations of total electron content (TEC) were determined using Global Positioning System (GPS) satellite signals over approximately 5 days per month during almost half a sunspot cycle (July 1991 to June 1995) at Salisbury (latitude 34.77 degrees S, longitude 138.63 degrees E), South Australia. These are the only such extensive southern hemisphere data till 1995 that have been recorded and analyzed. A selection of the data is presented, discussed, and compared with other workers' observations. Examples of Australian Surveying and Land Information Group (AUSLIG) data in the Australian region are presented. Some model predictions for northern hemisphere ionospheric TEC are compared with the GPS southern hemisphere observations of the combined TEC of the ionosphere and protonosphere. (The two models employed are the international reference ionosphere (IRI-90) and the paramaterized ionospheric model (PIM)(version 1.4, February 1996)). They are considered to be global models, even though the IRT model is based primarily, but not exclusively, on northern hemisphere TEC data, and PIM is based on a theoretical model and is thus not directly based on TEC data.</t>
  </si>
  <si>
    <t>Univ S Australia, Sch Phys &amp; Elect Syst Engn, The Levels, SA 5095, Australia</t>
  </si>
  <si>
    <t>University of South Australia</t>
  </si>
  <si>
    <t>Breed, AM (corresponding author), Australian Antarctic Div, Atmospher &amp; Space Phys Grp, Channel Highway, Kingston, Tas 7050, Australia.</t>
  </si>
  <si>
    <t>0048-6604</t>
  </si>
  <si>
    <t>RADIO SCI</t>
  </si>
  <si>
    <t>Radio Sci.</t>
  </si>
  <si>
    <t>10.1029/98RS01856</t>
  </si>
  <si>
    <t>Astronomy &amp; Astrophysics; Geochemistry &amp; Geophysics; Meteorology &amp; Atmospheric Sciences; Remote Sensing; Telecommunications</t>
  </si>
  <si>
    <t>145HR</t>
  </si>
  <si>
    <t>WOS:000077365500017</t>
  </si>
  <si>
    <t>Makarova, LN; Shirochkov, AV</t>
  </si>
  <si>
    <t>The magnetopause position as an indicator of the ionization level in the dayside high-latitude ionosphere</t>
  </si>
  <si>
    <t>HLPS/GAPS Peaceful Valley III Workshop</t>
  </si>
  <si>
    <t>JUN 15-17, 1997</t>
  </si>
  <si>
    <t>LYONS, COLORADO</t>
  </si>
  <si>
    <t>WIND DYNAMIC PRESSURE; SOLAR</t>
  </si>
  <si>
    <t>Experimental evidence of the strong connection between the near-noon level of ionization in the high-latitude ionosphere, expressed as the f(0)F(2) values, and the subsolar distance between the magnetopause and the Earth is presented here. Preliminary studies made by the authors of the solar wind dynamic pressure influence on the high-latitude ionosphere produced rather promising results. Since the solar wind dynamic pressure is an external force determining a subsolar distance between the magnetopause and the Earth, the former parameter was chosen as an indicator of the electromagnetic energy accumulated in the magnetosphere-ionosphere system. Very high correlation (r&gt;0.85) has been found between the values of the near-noon electron density derived from the data of the high-latitude ionospheric stations located in different geophysical regions of both hemispheres and the magnetopause position. The periods when the magnetopause moved close to the Earth coincided with the dramatic drop of the near-noon ionization level at the high-latitude stations. However, only preliminary suggestions concerning the nature of this phenomenon can be made at the moment.</t>
  </si>
  <si>
    <t>Arctic &amp; Antarctic Res Inst, St Petersburg 199397, Russia</t>
  </si>
  <si>
    <t>Makarova, LN (corresponding author), Arctic &amp; Antarctic Res Inst, 38 Bering St, St Petersburg 199397, Russia.</t>
  </si>
  <si>
    <t>10.1029/98RS02446</t>
  </si>
  <si>
    <t>WOS:000077365500030</t>
  </si>
  <si>
    <t>Froneman, PW; Pakhomov, EA; Turner, D; Abrahamson, K; Karlsson, B; Godhe, A; Bertilsson, S; Graneli, W; Carlsson, P; Wangberg, S; Wulff, A; Croot, P; Andersson, K; Balarin, M; Wedborg, M; Persson, T; Rasmus, K; Ozturk, M; David, R</t>
  </si>
  <si>
    <t>Research cruise of the Scandinavian South African Antarctic expedition, December 1997 to February 1998</t>
  </si>
  <si>
    <t>Rhodes Univ, Dept Zool &amp; Entomol, So Ocean Grp, ZA-6140 Grahamstown, South Africa; Univ Gothenburg, SE-41296 Gothenburg, Sweden; Dept Marine Bot, SE-40530 Gothenburg, Sweden; Linkoping Univ, Tema Vatten, SE-58183 Linkoping, Sweden; Univ Lund, SE-22362 Lund, Sweden; Dept Plant Physiol, SE-40530 Gothenburg, Sweden; Univ Helsinki, Dept Geophys, Helsinki, Finland; Norwegian Univ Sci &amp; Technol, Tronheim Biol Stn, N-7108 Trondheim, Norway; CSIR, ZA-4013 Congella, South Africa</t>
  </si>
  <si>
    <t>Rhodes University; University of Gothenburg; Linkoping University; Lund University; University of Helsinki; Norwegian University of Science &amp; Technology (NTNU); Council for Scientific &amp; Industrial Research (CSIR) - South Africa</t>
  </si>
  <si>
    <t>Froneman, PW (corresponding author), Rhodes Univ, Dept Zool &amp; Entomol, So Ocean Grp, POB 94, ZA-6140 Grahamstown, South Africa.</t>
  </si>
  <si>
    <t>Froneman, William/GLS-0460-2022; Wedborg, Margareta/B-2620-2010; Froneman, William/C-9085-2012; Croot, Peter/U-5296-2019; Croot, Peter/C-8460-2009; Carlsson, Per/A-4061-2009; Turner, David R/A-7870-2010; Karlson, Bengt/HII-5550-2022; Andersson, Karl/JGE-1297-2023</t>
  </si>
  <si>
    <t>Froneman, William/0000-0003-0615-1355; Croot, Peter/0000-0003-1396-0601; Carlsson, Per/0000-0001-7313-9976; Turner, David R/0000-0002-2891-2664; Karlson, Bengt/0000-0002-7524-3504;</t>
  </si>
  <si>
    <t>160FN</t>
  </si>
  <si>
    <t>WOS:000078219900002</t>
  </si>
  <si>
    <t>Calace, N; De Paolis, F; Minniti, F; Petronio, BM</t>
  </si>
  <si>
    <t>Purification of soluble fulvic acid low concentrations by a diafiltration technique</t>
  </si>
  <si>
    <t>TALANTA</t>
  </si>
  <si>
    <t>Antarctica; diafiltration; purification; soluble fulvic acids</t>
  </si>
  <si>
    <t>AQUATIC HUMIC SUBSTANCES; ULTRAFILTRATION; SEPARATION; RESINS; WATERS</t>
  </si>
  <si>
    <t>The purification of soluble fulvic acids (FA) based on a diafiltration technique is carried out on antarctic water and snow samples, characterised by low humic compound content (0.1-0.8 mg/l). Results are compared with those of FA purified with the dialysis technique that, together with ion-exchange resins, performs an often used purification process. With the adopted procedure it is possible to minimise the high content of inorganic salts deriving in part from the isolation method XAD-8 adopted, as shown by FTIR, elemental and thermogravimetric analysis. (C) 1998 Elsevier Science B.V. All rights reserved.</t>
  </si>
  <si>
    <t>Univ Rome La Sapienza, Dept Chem, I-00185 Rome, Italy</t>
  </si>
  <si>
    <t>Sapienza University Rome</t>
  </si>
  <si>
    <t>Petronio, BM (corresponding author), Univ Rome La Sapienza, Dept Chem, Ple Aldo Moro 5, I-00185 Rome, Italy.</t>
  </si>
  <si>
    <t>Calace, Nicoletta/0000-0003-1823-1168</t>
  </si>
  <si>
    <t>0039-9140</t>
  </si>
  <si>
    <t>Talanta</t>
  </si>
  <si>
    <t>10.1016/S0039-9140(98)00128-3</t>
  </si>
  <si>
    <t>134DN</t>
  </si>
  <si>
    <t>WOS:000076727800033</t>
  </si>
  <si>
    <t>Gros, V; Martin, D; Poisson, N; Kanakidou, M; Bonsang, B; Le Guern, F; Demont, E</t>
  </si>
  <si>
    <t>Ozone and C2-C5 hydrocarbon observations in the marine boundary layer between 45°S and 77°S</t>
  </si>
  <si>
    <t>TELLUS SERIES B-CHEMICAL AND PHYSICAL METEOROLOGY</t>
  </si>
  <si>
    <t>LIGHT NONMETHANE HYDROCARBONS; SURFACE OZONE; ANTARCTIC TROPOSPHERE; C2-C5 HYDROCARBONS; AIR MASSES; MODEL; TRACE; DISTRIBUTIONS; EMISSIONS; ACETYLENE</t>
  </si>
  <si>
    <t>During the austral summer of 1993, measurements of surface ozone (O-3), non-methane hydrocarbons (NMHC), lead-212 and radon-222 activity were performed on board the vessel ANTARCTICA between 43 degrees S and 77 degrees S. The latitudinal variations of light C-2-C-5 alkanes reflect the relatively short photochemical lifetime of these compounds and their intensive photochemical destruction during summer. Average mixing ratios of ethane, propane and acetylene were 291 +/- 76 pptv, 61 +/- 53 pptv and 48 +/- 35 pptv respectively, in good agreement with published measurements previously undertaken in the Antarctic region. O-3 mixing ratios ranted From 8.5 ppbv to 22.2 ppbv. The few relatively high values of ozone that have been observed during EREBUS94 campaign occurred simultaneously with high Rn-222 activities and possibly indicated continental influence through transport of air masses in the free troposphere. With the exception of these high O-3 events, the O-3 and NMHC observations, in conjunction with air mass back trajectory analysis, radon-222 observations and a global 3-D model calculations, suggest that the troposphere/stratosphere exchanges play an Important role on ozone budget at the high latitudes of the southern hemisphere.</t>
  </si>
  <si>
    <t>CEA, CNRS, Lab Sci Climat &amp; Environm, F-91198 Gif Sur Yvette, France</t>
  </si>
  <si>
    <t>Universite Paris Saclay; CEA; Centre National de la Recherche Scientifique (CNRS)</t>
  </si>
  <si>
    <t>Gros, V (corresponding author), CEA, CNRS, Lab Sci Climat &amp; Environm, Orme Merisiers,Batiment 709, F-91198 Gif Sur Yvette, France.</t>
  </si>
  <si>
    <t>gros@lsce.saclay.cea.fr</t>
  </si>
  <si>
    <t>Kanakidou, Maria/D-7882-2012</t>
  </si>
  <si>
    <t>Kanakidou, Maria/0000-0002-1724-9692</t>
  </si>
  <si>
    <t>0280-6509</t>
  </si>
  <si>
    <t>TELLUS B</t>
  </si>
  <si>
    <t>Tellus Ser. B-Chem. Phys. Meteorol.</t>
  </si>
  <si>
    <t>10.1034/j.1600-0889.1998.t01-4-00003.x</t>
  </si>
  <si>
    <t>163TJ</t>
  </si>
  <si>
    <t>WOS:000078421400003</t>
  </si>
  <si>
    <t>Turk, W</t>
  </si>
  <si>
    <t>Antarctic airlift recalled</t>
  </si>
  <si>
    <t>AVIATION WEEK &amp; SPACE TECHNOLOGY</t>
  </si>
  <si>
    <t>USAF, Washington, DC 20330 USA</t>
  </si>
  <si>
    <t>United States Department of Defense; United States Air Force</t>
  </si>
  <si>
    <t>MCGRAW HILL INC</t>
  </si>
  <si>
    <t>1221 AVENUE OF THE AMERICAS, NEW YORK, NY 10020 USA</t>
  </si>
  <si>
    <t>0005-2175</t>
  </si>
  <si>
    <t>AVIAT WEEK SPACE TEC</t>
  </si>
  <si>
    <t>Aviat. Week Space Technol.</t>
  </si>
  <si>
    <t>OCT 26</t>
  </si>
  <si>
    <t>132DB</t>
  </si>
  <si>
    <t>WOS:000076614000005</t>
  </si>
  <si>
    <t>Warren, SG; Brandt, RE; Hinton, PO</t>
  </si>
  <si>
    <t>Effect of surface roughness on bidirectional reflectance of Antarctic snow</t>
  </si>
  <si>
    <t>SCATTERING PROPERTIES; ASYMMETRY PARAMETERS; PHASE FUNCTION; ALBEDO; SPECTROSCOPY</t>
  </si>
  <si>
    <t>The angular pattern of sunlight reflected by snow is altered by surface roughness, which in the interior of Antarctica is usually in the form of meter-scale longitudinal erosional features (sastrugi), whose axes align with the direction of strong winds. The bidirectional reflectance distribution function (BRDF) changes over the course of a day as the solar azimuth changes relative to the sastrugi axis. The normalized BRDF, or anisotropic reflectance factor R, was measured at South Pole Station from a 22-m tower at 600, 660, and 900 nm wavelengths. The R pattern was similar at the three wavelengths; it probably varies little from 300 to 900 nm. Measurements were made at solar zenith angles theta(o) from 67 degrees to 90 degrees, over the full range of viewing zenith angle (theta(r)), azimuth angle between Sun and view (phi), and azimuth angle between Sun and sastrugi (phi(sus)). Variation of R with phi(sas) was notable; sastrugi oriented perpendicular to the solar beam cause a reduction of the forward peak, and sastrugi at an oblique angle cause R to lose its symmetry about the solar azimuth. However, the effects of sastrugi are mostly restricted to large viewing zenith angles, so remote sensing of albedo and atmospheric properties can be carried out accurately without knowledge of sastrugi height and orientation if only near-nadir views are used. This recommendation is opposite that for observations of broken clouds over dark surfaces, for which large theta(r) is preferred. A parameterization of R is developed, valid for viewing angles theta(r) less than or equal to 50 degrees. Sastrugi can cause a reduction of the snow albedo by altering the angle of incidence and by trapping of photons. For the small sastrugi of the Antarctic Plateau, the albedo is unaffected at visible wavelengths but can be reduced by a few percent at near-infrared wavelengths when the Sun is low.</t>
  </si>
  <si>
    <t>Univ Washington, Dept Atmospher Sci, Seattle, WA 98195 USA; Sci Applicat Int Corp, Hampton, VA 23666 USA</t>
  </si>
  <si>
    <t>University of Washington; University of Washington Seattle; Science Applications International Corporation (SAIC)</t>
  </si>
  <si>
    <t>Univ Washington, Dept Atmospher Sci, Box 351640, Seattle, WA 98195 USA.</t>
  </si>
  <si>
    <t>sgw@atmos.washington.edu; brandt@atmos.washington.edu; hinton@orawe.larc.nasa.gov</t>
  </si>
  <si>
    <t>OCT 25</t>
  </si>
  <si>
    <t>E11</t>
  </si>
  <si>
    <t>10.1029/98JE01898</t>
  </si>
  <si>
    <t>168VD</t>
  </si>
  <si>
    <t>WOS:000078713100006</t>
  </si>
  <si>
    <t>Grewe, V; Dameris, M; Sausen, R; Steil, B</t>
  </si>
  <si>
    <t>Impact of stratospheric dynamics and chemistry on northern hemisphere midlatitude ozone loss</t>
  </si>
  <si>
    <t>ARCTIC POLAR VORTEX; ANTARCTIC VORTEX; LATE WINTER; CHLORINE ACTIVATION; POTENTIAL VORTICITY; COORDINATE SYSTEM; MIDDLE LATITUDES; TRANSPORT MODEL; CLOUD FORMATION; MINI-HOLE</t>
  </si>
  <si>
    <t>The importance of dynamics for stratospheric ozone distribution in the northern hemisphere is investigated by using multiannual simulations of the coupled dynamic-chemical general circulation model ECHAM3/CHEM. This model includes a parameterization for heterogeneous reactions on the surfaces of polar stratospheric clouds (PSCs) and on sulfate aerosols. A warm and a cold stratospheric winter are examined to estimate the range of chemical ozone loss in the model due to heterogeneous reactions on PSCs. Ozone depletion in the model mainly occurs inside the polar vortex. An additional ozone reduction due to heterogeneous reactions on PSCs is found outside the polar vortex. Secondary vortex formation and vortex contraction after an elongation lead to a transport of air masses with chemically reduced ozone values out of the vortex. Except for such events the edge of the modeled polar vortex acts as a barrier to transport. During the formation of secondary vortices no additional heterogeneous reactions occur therein. Other dynamic events, such as the elongation of the polar vortex and its displacement to lower latitudes, lead to an intense ozone depletion. A minor stratospheric warming in the model causes a total deactivation of chlorine compounds and prevents further ozone depletion. In midlatitudes, the amplitude of short-term variations of total ozone is amplified by PSC heterogeneous chemical ozone reduction.</t>
  </si>
  <si>
    <t>DLR, Deutsch Zentrum Luft &amp; Raumfahrt, Inst Phys Atmosphare, D-82234 Wessling, Germany; Max Planck Inst Chem, Abt Luftchem, D-55020 Mainz, Germany</t>
  </si>
  <si>
    <t>Helmholtz Association; German Aerospace Centre (DLR); Max Planck Society</t>
  </si>
  <si>
    <t>DLR, Deutsch Zentrum Luft &amp; Raumfahrt, Inst Phys Atmosphare, D-82234 Wessling, Germany.</t>
  </si>
  <si>
    <t>Volker.Grewe@dlr.de; Martin.Dameris@dlr.de; Robert.Sausen@dlr.de; steil@mpch-mainz.mpg.de</t>
  </si>
  <si>
    <t>Grewe, Volker/A-6147-2011; Grewe, Volker/JCE-0830-2023</t>
  </si>
  <si>
    <t>Grewe, Volker/0000-0002-8012-6783; Dameris, Martin/0000-0001-6700-0628</t>
  </si>
  <si>
    <t>OCT 20</t>
  </si>
  <si>
    <t>D19</t>
  </si>
  <si>
    <t>10.1029/98JD01830</t>
  </si>
  <si>
    <t>129XW</t>
  </si>
  <si>
    <t>WOS:000076490200020</t>
  </si>
  <si>
    <t>Bindschadler, R</t>
  </si>
  <si>
    <t>Geoscience - Future of the west Antarctic ice sheet</t>
  </si>
  <si>
    <t>SEA-LEVEL RISE; COLLAPSE</t>
  </si>
  <si>
    <t>NASA, Goddard Space Flight Ctr, Lab Hydrospher Sci, Oceans &amp; Ice Branch, Greenbelt, MD 20771 USA</t>
  </si>
  <si>
    <t>Bindschadler, R (corresponding author), NASA, Goddard Space Flight Ctr, Lab Hydrospher Sci, Oceans &amp; Ice Branch, Greenbelt, MD 20771 USA.</t>
  </si>
  <si>
    <t>OCT 16</t>
  </si>
  <si>
    <t>10.1126/science.282.5388.428</t>
  </si>
  <si>
    <t>129TT</t>
  </si>
  <si>
    <t>WOS:000076479600039</t>
  </si>
  <si>
    <t>Wingham, DJ; Ridout, AJ; Scharroo, R; Arthern, RJ; Shum, CK</t>
  </si>
  <si>
    <t>Antarctic elevation change from 1992 to 1996</t>
  </si>
  <si>
    <t>GLOBAL SEA-LEVEL; SNOW ACCUMULATION; MOTION; EARTH</t>
  </si>
  <si>
    <t>Satellite radar altimeter measurements show that the average elevation of the Antarctic Ice Sheet interior fell by 0.9 +/- 0.5 centimeters per year from 1992 to 1996. If the variability of snowfall observed in Antarctic ice cores is allowed for, the mass imbalance of the interior this century is only -0.06 +/- 0.08 of the mean mass accumulation rate.</t>
  </si>
  <si>
    <t>UCL, Dept Space &amp; Climate Phys, London WC1H 0AH, England; Delft Univ Technol, Delft Inst Earth Oriented Space Res, NL-2629 HS Delft, Netherlands; Ohio State Univ, Dept Civil &amp; Engn Sci &amp; Geodet Sci, Columbus, OH 43210 USA</t>
  </si>
  <si>
    <t>University of London; University College London; Delft University of Technology; University System of Ohio; Ohio State University</t>
  </si>
  <si>
    <t>Wingham, DJ (corresponding author), UCL, Dept Space &amp; Climate Phys, 17-19 Gordon St, London WC1H 0AH, England.</t>
  </si>
  <si>
    <t>Scharroo, Remko/F-5623-2010</t>
  </si>
  <si>
    <t>Shum, C K/0000-0001-9378-4067; Scharroo, Remko/0000-0002-2118-131X</t>
  </si>
  <si>
    <t>10.1126/science.282.5388.456</t>
  </si>
  <si>
    <t>WOS:000076479600048</t>
  </si>
  <si>
    <t>Peterson, RG; White, WB</t>
  </si>
  <si>
    <t>Slow oceanic teleconnections linking the Antarctic Circumpolar Wave with the tropical El Nino-Southern Oscillation</t>
  </si>
  <si>
    <t>SEA-SURFACE TEMPERATURE; TOTAL GEOSTROPHIC CIRCULATION; INTERANNUAL VARIABILITY; ECMWF ANALYSES; PACIFIC-OCEAN; FLOW PATTERNS; CYCLE; ICE; HEMISPHERE; TRANSPORTS</t>
  </si>
  <si>
    <t>A case study for the period 1982-1994 shows that a major source for the Antarctic Circumpolar Wave is in the western subtropical South Pacific. where interannual anomalies in sea surface temperature (SST) and precipitable water (PrWat) form. Once established, these interannual anomalies, in tandem with anomalies in sea level pressure (SLP), move south toward the Southern Ocean. The system then migrates east around the globe through a combination of oceanic advection with the Antarctic Circumpolar Current and ocean-atmosphere coupling. The coincidence of interannual anomalies in SST, SLP, and PrWat indicates the extratropical ocean and atmosphere are tightly linked on these timescales. Large portions of the interannual SST anomalies branch advectively northward into the South Atlantic and Indian Oceans, ultimately reaching the tropics in each basin some 6-8 years after appearing in the low-latitude Pacific. This constitutes a slow, oceanic teleconnection that is unique in climate dynamics, made possible by the continuity of Earth's oceans via the Southern Ocean. In the tropical Indian Ocean these interannual anomalies move east and arrive at the Indo-Pacific transition in advance of the trans-Pacific propagation of the respective El Nino-Southern Oscillation (ENSO) phases. The interannual SST and PrWat anomalies that appear in the subtropical South Pacific are directly linked with the ENSO cycle on the equator through anomalous vertical convection and a regional overturning cell in the troposphere, the same cell that initiates fast planetary waves in the atmosphere that carry ENSO signals around the southern hemisphere on much shorter timescales.</t>
  </si>
  <si>
    <t>Peterson, RG (corresponding author), Univ Calif San Diego, Scripps Inst Oceanog, UCSD Mail Code 0230, La Jolla, CA 92093 USA.</t>
  </si>
  <si>
    <t>OCT 15</t>
  </si>
  <si>
    <t>C11</t>
  </si>
  <si>
    <t>10.1029/98JC01947</t>
  </si>
  <si>
    <t>127XB</t>
  </si>
  <si>
    <t>WOS:000076374900001</t>
  </si>
  <si>
    <t>Davis, RE</t>
  </si>
  <si>
    <t>Preliminary results from directly measuring middepth circulation in the tropical and South Pacific</t>
  </si>
  <si>
    <t>GENERAL-CIRCULATION; OCEAN; ATLANTIC; EXPLORER; FLOATS; MODELS; HEAT</t>
  </si>
  <si>
    <t>As part of the World Ocean Circulation Experiment, 300 Autonomous Lagrangian Circulation Explorer floats were deployed in the tropical and South Pacific to measure the general circulation at 900 m depth. Most floats measured average currents over 25 submerged days between ascents to the surface for locating and data relay. By the end of 1997, over 12,500 observations spanning 840 float years were obtained. Accuracy of the average velocity is limited by variability, some of which is found to arise from steady flows with spatial variations smaller than averaging scales. Observed 25-day velocities are serially uncorrelated except near the equator where energetic zonal variability has seasonal timescales and appears to be described by a data-assimilating ocean circulation model run by the National Centers for Environmental Prediction. Space-time averages of float velocities disclose a general pattern of middepth flow that resembles the surface circulation with the strongest flows of O(3 cm/s) in the deep Antarctic Circumpolar Current and East Australian Current. The weaker elements of the flow, including an interior subtropical circulation with O(millimeters per second) flows, are described by an objective analysis whose accuracy is limited by sampling noise rather than uncertainty of the analysis parameters. The subtropical circulation has a gyres-within-a-gyre structure including boundary currents along Australia and east of New Zealand and a concentrated equatorial limb with surprising strength in the western basin. This current is also involved in a tropical gyre with generally eastward flow along the equator in the western basin at least. Because of strong seasonal-scale variability, the equatorial zonal currents are not well measured yet but data are still being accumulated. Comparison with Reid's [1997] absolute circulation shows more areas of agreement than of disagreement.</t>
  </si>
  <si>
    <t>Univ Calif San Diego, Scripps Inst Oceanog, Phys Oceanog Res Div, La Jolla, CA 92093 USA</t>
  </si>
  <si>
    <t>Univ Calif San Diego, Scripps Inst Oceanog, Phys Oceanog Res Div, 9500 Gilman Dr, La Jolla, CA 92093 USA.</t>
  </si>
  <si>
    <t>rdavis@nemo.ucsd.edu</t>
  </si>
  <si>
    <t>Davis, Russ/0000-0003-1903-6313</t>
  </si>
  <si>
    <t>10.1029/98JC01913</t>
  </si>
  <si>
    <t>WOS:000076374900004</t>
  </si>
  <si>
    <t>Adolphs, U</t>
  </si>
  <si>
    <t>Ice thickness variability, isostatic balance and potential for snow ice formation on ice floes in the south polar Pacific Ocean</t>
  </si>
  <si>
    <t>ANTARCTIC SEA-ICE; WEDDELL-SEA; PACK-ICE; ROSS SEA; ATMOSPHERIC CIRCULATION; WINTER; COVER; EXTENT; SECTOR; SHELF</t>
  </si>
  <si>
    <t>Spatial and temporal characteristics of snow and ice thickness were determined for data, acquired during five cruises into the Bellingshausen/Amundsen and Ross Seas between September 1993 and 1995. When sorted into distance classes from the ice edge, snow and ice thicknesses show a pattern of spatial and temporal variability that reflects the relative regional importance of different sea ice growth mechanisms, motion and deformation as well as of oceanographic processes. The potential for snow ice formation was directly investigated for the drilling data. Flooding, measured prior to drilling, has a strong correspondence with negative freeboard while moist snow shows a lesser correspondence. Wetness and flooding are strongly correlated with the ratio of snow load and ice thickness while the relation to the amount of ridging is less conclusive. Using an isostatic argument, the contribution of snow ice formation to the overall ice growth was shown to be considerably higher than that of congelation ice growth. It was found that one length unit of snow accumulation or bottom ice melt on an ice flee leads to approximately the same amount of subsidence for the flee. Further, rates of subsidence, due to snow load and ice melt, appear to be similar to uplift from congelation ice growth. The degree of isostatic balance on different spatial scales was evaluated by introducing a generalized density-weighted snow/ice thickness ratio (GSI) for the drilling data. The GSI includes slush densities in order to account for the suggested importance of snow ice formation. Deviations from isostatic balance occur locally but decrease quickly on spatial averaging scales of a few meters. The closest fit to isostatic equilibrium is reached by choosing a maximum value for the slush density.</t>
  </si>
  <si>
    <t>Univ Alaska, Inst Geophys, Fairbanks, AK USA</t>
  </si>
  <si>
    <t>Weissenburger Pl 6B, D-81667 Munich, Germany.</t>
  </si>
  <si>
    <t>uadolphs@t-online.de</t>
  </si>
  <si>
    <t>10.1029/98JC02414</t>
  </si>
  <si>
    <t>WOS:000076374900008</t>
  </si>
  <si>
    <t>Batteen, ML; Huang, MJ</t>
  </si>
  <si>
    <t>Effect of salinity on density in the Leewin Current System</t>
  </si>
  <si>
    <t>CALIFORNIA CURRENT SYSTEM; LEEUWIN CURRENT; WESTERN-AUSTRALIA; OCEAN CIRCULATION; EDDIES; MODELS; HEAT</t>
  </si>
  <si>
    <t>Climatological temperature and salinity fields are used to calculate the salinity contribution to density and dynamic height fields in the Leeuwin Current System (LCS). While the temperature gradient is primarily linear, with warmest water to the north, the salinity fields are spatially inhomogeneous. A comparison of density fields, calculated with constant and variable salinity, shows that, off Western Australia, the density field is primarily determined by temperature. Off southwestern Australia, the density field is dependent on warm and salty (subtropical) and fresh and cold (sub-Antarctic) water masses. While the dynamic height fields, calculated with constant and variable salinity, show similar flow patterns off Western Australia, different flow patterns are found off southwestern Australia. In addition to the analysis of climatological fields, a primitive equation ocean model is used in a process-oriented study to investigate the role of salinity in the formation of currents and eddies in the LCS. Two identical ocean models, one with a climatological salinity field and the other with no horizontal salinity gradients, are run and compared with each other. Despite the model runs being initialized with similar temperature distributions, there are relatively large temperature and density differences in the southwestern Australian region due to the advection of water masses by the Leeuwin Current. On the basis of the climatological analyses and the results of the model experiments, it is concluded that, descriptively and dynamically, both temperature and salinity are essential to accurately characterize the large-scale circulation of the LCS.</t>
  </si>
  <si>
    <t>USN, Dept Oceanog, Postgrad Sch, Monterey, CA 93943 USA</t>
  </si>
  <si>
    <t>Batteen, ML (corresponding author), USN, Dept Oceanog, Postgrad Sch, Code OC-BV, Monterey, CA 93943 USA.</t>
  </si>
  <si>
    <t>batteen@oc.nps.navy.mil</t>
  </si>
  <si>
    <t>10.1029/98JC01373</t>
  </si>
  <si>
    <t>WOS:000076374900009</t>
  </si>
  <si>
    <t>Florenchie, P; Verron, J</t>
  </si>
  <si>
    <t>South Atlantic Ocean circulation: Simulation experiments with a quasi-geostrophic model and assimilation of TOPEX/POSEIDON and ERS 1 altimeter data</t>
  </si>
  <si>
    <t>ANTARCTIC CIRCUMPOLAR CURRENT; AGULHAS CURRENT SYSTEM; BRAZIL MALVINAS CONFLUENCE; SOUTHWESTERN ATLANTIC; DRAKE PASSAGE; GENERAL-CIRCULATION; BENGUELA CURRENT; KINETIC-ENERGY; EDDY FIELD; TRANSPORT</t>
  </si>
  <si>
    <t>Simulation experiments of South Atlantic Ocean circulations are conducted with a 1/6 degrees, four-layered, quasi-geostrophic model. By means of a simple nudging data assimilation procedure along satellite tracks, TOPEX/POSEIDON and ERS 1 altimeter measurements are introduced into the model to control the simulation of the basin-scale circulation for the period from October 1992 to September 1994. The model circulation appears to be strongly influenced by the introduction of altimeter data, offering a consistent picture of South Atlantic Ocean circulations. Comparisons with observations show that the assimilating model successfully simulates the kinematic behavior of a large number of surface circulation components. The assimilation procedure enables us to produce schematic diagrams of South Atlantic circulation in which patterns ranging from basin-scale currents to mesoscale eddies are portrayed in a realistic way, with respect to their complexity. The major features of the South Atlantic circulation are described and analyzed, with special emphasis on the Brazil-Malvinas Confluence region, the Subtropical Gyre with the formation of frontal structures, and the Agulhas Retroflection. The Agulhas eddy-shedding process has been studied extensively. Fourteen eddies appear to be shed during the 2-year experiment. Because of their strong surface topographic signature, Agulhas eddies have been tracked continuously during the assimilation experiment as they cross the South Atlantic basin westward. Other effects of the assimilation procedure are shown, such as the intensification of the Subtropical Gyre, the appearance of a strong seasonal cycle in the Brazil Current transport, and the increase of the mean Brazil Current transport. This last result, combined with the westward oriention of the Agulhas eddies' trajectories, leads to a southward transport of mean eddy kinetic energy across 30 degrees S.</t>
  </si>
  <si>
    <t>UJF, INPG, Lab Ecoulements Geophys &amp; Ind, CNRS,UMR 5519, F-38041 Grenoble, France</t>
  </si>
  <si>
    <t>Communaute Universite Grenoble Alpes; Institut National Polytechnique de Grenoble; Universite Grenoble Alpes (UGA); Centre National de la Recherche Scientifique (CNRS); CNRS - Institute for Engineering &amp; Systems Sciences (INSIS)</t>
  </si>
  <si>
    <t>UJF, INPG, Lab Ecoulements Geophys &amp; Ind, CNRS,UMR 5519, BP 53 X, F-38041 Grenoble, France.</t>
  </si>
  <si>
    <t>verron@hmg.inpg.fr</t>
  </si>
  <si>
    <t>10.1029/98JC01661</t>
  </si>
  <si>
    <t>WOS:000076374900011</t>
  </si>
  <si>
    <t>Massom, RA; Lytle, VI; Worby, AP; Allison, I</t>
  </si>
  <si>
    <t>Winter snow cover variability on East Antarctic sea ice</t>
  </si>
  <si>
    <t>WESTERN WEDDELL-SEA; THICKNESS DISTRIBUTION; THERMAL-CONDUCTIVITY; SEASONAL SNOW; AMUNDSEN SEAS; BELLINGSHAUSEN; COEFFICIENTS; METAMORPHISM; ROUGHNESS; MODEL</t>
  </si>
  <si>
    <t>Analysis of the first detailed data set of snow characteristics collected over East Antarctic sea ice in winter confirms that on small scales, snow on Antarctic sea ice is highly variable in both thickness and properties. High-amplitude cyclical variability in atmospheric forcing related to the passage of storms is responsible for the high degree of textural heterogeneity observed. Changes in snow properties were examined over a 3-week period, during which a largely icy snow cover, formed at near-freezing temperatures, metamorphosed to snow in which facetted crystals and depth hear dominated, as the air temperature plummeted. Even on flat ice, significant localized thickening of snow occurs in the form of barchan dunes. Although we observed great variability in snow thickness and properties on local scales, overall snow thickness distribution and the complex textural assemblage of snow types are similar from region to region. Similar observations were made by Sturm et al. [1998] in West Antarctica. Large-scale similarities are also apparent in mean snow density, grain size, and bulk snow salinity, although high variability is again found across individual flees. Rapid depth hear formation is a ubiquitous process that greatly affects the density, texture, grain size, and effective thermal conductivity of the snow cover. The observed heterogeneity results in varying snow effective thermal conductivities. The mean bulk effective thermal conductivity, computed from the proportion of observed snow types, is 0.164 W m(-1) K-1, significantly lower than values typically used in large-scale sea ice modeling but similar to that derived by Sturm et al. [1998] in a near-simultaneous experiment in the Bellingshausen and Ross Seas. It varies from 0.097 to 0.383 W m(-1) K-1 in different snow pits. The findings support those of Sturm et al. [1998] that periodic flooding and subsequent snow ice formation, which are also ubiquitous processes, effectively diminish the degree to which basal snow processes create inhomogeneities in the snow pack.</t>
  </si>
  <si>
    <t>Univ Tasmania, Antarctic Cooperat Res Ctr, Hobart, Tas 7001, Australia; Australian Antarctic Div, Kingston, Tas, Australia</t>
  </si>
  <si>
    <t>University of Tasmania; Australian Antarctic Division</t>
  </si>
  <si>
    <t>Univ Tasmania, Antarctic Cooperat Res Ctr, GPO Box 252-80, Hobart, Tas 7001, Australia.</t>
  </si>
  <si>
    <t>R.Masom@utas.edu.au</t>
  </si>
  <si>
    <t>Worby, Anthony P/A-2373-2012; Allison, Ian F/I-4477-2015</t>
  </si>
  <si>
    <t>Allison, Ian F/0000-0001-9599-0251; Massom, Robert/0000-0003-1533-5084</t>
  </si>
  <si>
    <t>10.1029/98JC01617</t>
  </si>
  <si>
    <t>WOS:000076374900016</t>
  </si>
  <si>
    <t>Kim, SJ; Stossel, A</t>
  </si>
  <si>
    <t>On the representation of the Southern Ocean water masses in an ocean climate model</t>
  </si>
  <si>
    <t>GENERAL-CIRCULATION MODELS; SEA ICE MODEL; BOTTOM WATER; WORLD OCEAN; WEDDELL SEA; MEAN CIRCULATION; MIXED LAYER; PRYDZ BAY; SENSITIVITY; ANTARCTICA</t>
  </si>
  <si>
    <t>In global ocean general circulation models used for climate studies, the simulated global deep ocean temperature and salinity generally appear to be lower than that observed. This may be due to an insufficient representation of the cryosphere in such models because the deep ocean thermohaline properties are strongly determined by high-latitude surface conditions. In this study, it is our aim to arrive at an improved simulation of polar water mass characteristics and distribution in the framework of an ocean climate model. As a step toward identifying the critical factors influencing the high-latitude water masses, in particular those of the Southern Ocean, we have proceeded a series of sensitivity experiments with a global sea ice-ocean model. Forcing Southern Ocean sea ice with daily instead of monthly fluctuating wind enhances brine release due to new-ice formation, which leads to a more pronounced core of Lower Circumpolar Deep Water (LCDW) in the Antarctic oceanic regime. Wider Antarctic shelf topography improves the distribution and thickness of sea ice, simultaneously providing a brine reservoir on the shelf, which is a crucial ingredient in the formation process of Antarctic Bottom Water (AABW). As a consequence, the salinity on the Antarctic shelf is increased with depth as observed. Intense southeasterly katabatic winds play a significant role in increasing the salinity, mainly off east Antarctica. It is suggested that modeled Southern Ocean water mass properties are highly sensitive to the large scale and regional forcing of Antarctic sea ice as well as the model representation of the shelf topography, the width of which is crucial to reproducing the first-order features of near-boundary convection.</t>
  </si>
  <si>
    <t>Texas A&amp;M Univ, Dept Oceanog, Texas Ctr Climate Studies, College Stn, TX 77843 USA</t>
  </si>
  <si>
    <t>Texas A&amp;M University System; Texas A&amp;M University College Station</t>
  </si>
  <si>
    <t>Kim, SJ (corresponding author), Texas A&amp;M Univ, Dept Oceanog, Texas Ctr Climate Studies, College Stn, TX 77843 USA.</t>
  </si>
  <si>
    <t>10.1029/98JC02413</t>
  </si>
  <si>
    <t>WOS:000076374900020</t>
  </si>
  <si>
    <t>Cowling, CV</t>
  </si>
  <si>
    <t>The endurance: Shackleton's legendary Antarctic expedition.</t>
  </si>
  <si>
    <t>LIBRARY JOURNAL</t>
  </si>
  <si>
    <t>Drake Mem Lib, Brockport, NY USA</t>
  </si>
  <si>
    <t>Cowling, CV (corresponding author), Drake Mem Lib, Brockport, NY USA.</t>
  </si>
  <si>
    <t>BOWKER MAGAZINE GROUP CAHNERS MAGAZINE DIVISION</t>
  </si>
  <si>
    <t>249 W 17TH ST, NEW YORK, NY 10011 USA</t>
  </si>
  <si>
    <t>0363-0277</t>
  </si>
  <si>
    <t>LIBR J</t>
  </si>
  <si>
    <t>Libr. J.</t>
  </si>
  <si>
    <t>Information Science &amp; Library Science</t>
  </si>
  <si>
    <t>128JX</t>
  </si>
  <si>
    <t>WOS:000076403600116</t>
  </si>
  <si>
    <t>Antarctic ozone hole: Still getting bigger</t>
  </si>
  <si>
    <t>CHEMICAL &amp; ENGINEERING NEWS</t>
  </si>
  <si>
    <t>0009-2347</t>
  </si>
  <si>
    <t>CHEM ENG NEWS</t>
  </si>
  <si>
    <t>Chem. Eng. News</t>
  </si>
  <si>
    <t>OCT 12</t>
  </si>
  <si>
    <t>Chemistry, Multidisciplinary; Engineering, Chemical</t>
  </si>
  <si>
    <t>Chemistry; Engineering</t>
  </si>
  <si>
    <t>129GB</t>
  </si>
  <si>
    <t>WOS:000076454500045</t>
  </si>
  <si>
    <t>Barker, DHN; Austin, JA</t>
  </si>
  <si>
    <t>Rift propagation, detachment faulting, and associated magmatism in Bransfield Strait, Antarctic Peninsula</t>
  </si>
  <si>
    <t>JOURNAL OF GEOPHYSICAL RESEARCH-SOLID EARTH</t>
  </si>
  <si>
    <t>METAMORPHIC CORE COMPLEXES; PASSIVE CONTINENTAL MARGINS; SOUTH-SHETLAND ISLANDS; WEST ANTARCTICA; PLATE; EXTENSION; EVOLUTION; ORIGIN; LITHOSPHERE; INITIATION</t>
  </si>
  <si>
    <t>Multichannel seismic data from Bransfield Strait, a young (&lt;4 Ma?) marginal basin located at the NW tip of the Antarctic Peninsula, reveal a complex array of rifting styles short of clearly defined seafloor spreading. The strait is undergoing basinwide extension. While enriched mid-ocean ridge basalts have been dredged from topographic highs in the NE part;of the basin, seismic evidence does not support the formation of oceanic crust there. Acoustic signatures of volcanic crust at known axial deep highs extend laterally subseafloor; their distribution and style support propagation of volcanism and associated extension from NE to SW. Active extensional structures along both margins control a strong physiographic asymmetry. The South Shetland Islands margin is composed of a few, closely spaced, large-offset normal faults; the gentler Antarctic Peninsula margin exhibits broader, distributed extension. To the NE, normal fault polarity reversal structures (NFPRs) dominate; listric faults sole into NW dipping, low-angle reflectors interpreted as detachments. To the SW, larger NFPRs and convex-up geometries up to similar to 20 km across suggest broad uplift rather than detachment-based extension. Such uplift may precedes seafloor volcanism and rapid associated deflation along detachments. NW-SE trending accommodation zones also segment the basin along-strike. Bransfield Strait extension may result both from plate boundary tectonics at the South Shetland Trench and at the evolving Antarctic-Scotia plate boundary. Extension was probably initiated by onset of subduction rollback at the trench, as a slab window opened from the SW. Augmented extension in the NE part of the basin may be a response to left-lateral al transtension associated with reorganization of the triple junction at the Shackleton Fracture Zone-South Scotia Ridge intersection.</t>
  </si>
  <si>
    <t>Univ Texas, Inst Geophys, Austin, TX 78759 USA; Univ Texas, Dept Geol Sci, Austin, TX USA</t>
  </si>
  <si>
    <t>University of Texas System; University of Texas Austin; University of Texas System; University of Texas Austin</t>
  </si>
  <si>
    <t>Columbia Univ, Lamont Doherty Earth Observ, POB 1000,Rt 9W, Palisades, NY 10964 USA.</t>
  </si>
  <si>
    <t>dbarker@ldeo.columbia.edu; jamie@utig.ig.utexas.edu</t>
  </si>
  <si>
    <t>Austin, James/G-6135-2010</t>
  </si>
  <si>
    <t>2169-9313</t>
  </si>
  <si>
    <t>2169-9356</t>
  </si>
  <si>
    <t>J GEOPHYS RES-SOL EA</t>
  </si>
  <si>
    <t>J. Geophys. Res.-Solid Earth</t>
  </si>
  <si>
    <t>OCT 10</t>
  </si>
  <si>
    <t>B10</t>
  </si>
  <si>
    <t>10.1029/98JB01117</t>
  </si>
  <si>
    <t>127WK</t>
  </si>
  <si>
    <t>WOS:000076373400017</t>
  </si>
  <si>
    <t>Zdzitowiecki, K; Cielecka, D</t>
  </si>
  <si>
    <t>Digenea of the fish, Macrourus holotrachys (Gadiformes, Macrouridae), from the North Scotia Ridge, sub-Antarctic</t>
  </si>
  <si>
    <t>ACTA PARASITOLOGICA</t>
  </si>
  <si>
    <t>fish digenea; Gibsonia; Macrourus holotrachys; morphology; North Scotia Ridge; Paralepidapedon</t>
  </si>
  <si>
    <t>LEPOCREADIIDAE</t>
  </si>
  <si>
    <t>Four digenean species were found in fish of the species Macrourus holotrachys caught at the North Scotia Ridge, sub-Antarctic. Gibsonia hastata Gaevskaya et Rodyuk, 1988 and Lepidapedon lepidum Gaevskaya et Rodyuk, 1988 are redescribed and figured based on new material and reexaminations of the type-specimens. L. lepidum possesses uroproct and therefore is transferred into the genus Paralepidapedon. Gonocerca phycidis Manter, 1925 and Lecithochirium sp. (probably unknown species) are briefly described and figured. M. holotrachys is a new host for all these parasites.</t>
  </si>
  <si>
    <t>Polish Acad Sci, W Stefanski Inst Parasitol, PL-00818 Warsaw, Poland; Med Acad Warsaw, Inst Biostruct, Dept Gen Biol &amp; Parasitol, PL-02004 Warsaw, Poland</t>
  </si>
  <si>
    <t>Polish Academy of Sciences</t>
  </si>
  <si>
    <t>Polish Acad Sci, W Stefanski Inst Parasitol, Twarda 51-55, PL-00818 Warsaw, Poland.</t>
  </si>
  <si>
    <t>SPRINGER INTERNATIONAL PUBLISHING AG</t>
  </si>
  <si>
    <t>CHAM</t>
  </si>
  <si>
    <t>GEWERBESTRASSE 11, CHAM, CH-6330, SWITZERLAND</t>
  </si>
  <si>
    <t>1230-2821</t>
  </si>
  <si>
    <t>1896-1851</t>
  </si>
  <si>
    <t>ACTA PARASITOL</t>
  </si>
  <si>
    <t>Acta Parasitolog.</t>
  </si>
  <si>
    <t>OCT</t>
  </si>
  <si>
    <t>Parasitology; Veterinary Sciences; Zoology</t>
  </si>
  <si>
    <t>157QW</t>
  </si>
  <si>
    <t>WOS:000078074000005</t>
  </si>
  <si>
    <t>Chown, SL; Gremmen, NJM; Gaston, KJ</t>
  </si>
  <si>
    <t>Ecological biogeography of southern ocean islands: Species-area relationships, human impacts, and conservation</t>
  </si>
  <si>
    <t>species-area relationships; terrestrial biotas; southern ocean</t>
  </si>
  <si>
    <t>ANTARCTIC MARION-ISLAND; INDIAN-OCEAN; PREHISTORIC EXTINCTIONS; CROZET ARCHIPELAGO; CLIMATIC-CHANGE; COLEOPTERA; CURCULIONIDAE; LEPIDOPTERA; EVOLUTION; AVIFAUNA</t>
  </si>
  <si>
    <t>Previous studies have concluded that southern ocean islands are anomalous because past glacial extent and current temperature apparently explain most variance in their species richness. Here, the relationships between physical variables and species richness of vascular plants, insects, land and seabirds, and mammals were reexamined for these islands. Indigenous and introduced species were distinguished, and relationships between the latter and human occupancy variables were investigated Most variance in indigenous species richness was explained by combinations of area and temperature (56%)-vascular plants; distance (nearest continent) and vascular plant species richness (75%)-insects; area and chlorophyll concentration (65%)-seabirds; and indigenous insect species richness and age (73%)-land birds. Indigenous insects and plants, along with distance (closest continent), explained most variance (70%) in introduced land bird species richness. A combination of area and temperature explained most variance in species richness of introduced vascular plants (73%), insects (69/o), and mammals (69%). However, there was a strong relationship between area and number of human occupants. This suggested that larger islands attract more human occupants, increasing the risk of propagule transfer, while temperature increases the chance of propagule establishment. Consequently, human activities on these islands should be regulated more tightly.</t>
  </si>
  <si>
    <t>Univ Pretoria, Dept Zool &amp; Entomol, ZA-0002 Pretoria, South Africa; Bur Data Anal Ecol, NL-7981 AP Diever, Netherlands; Univ Sheffield, Dept Anim &amp; Plant Sci, Sheffield S10 2TN, S Yorkshire, England</t>
  </si>
  <si>
    <t>University of Pretoria; University of Sheffield</t>
  </si>
  <si>
    <t>Univ Pretoria, Dept Zool &amp; Entomol, ZA-0002 Pretoria, South Africa.</t>
  </si>
  <si>
    <t>stevec@scientia.up.ac.za; gremmen@wxs.nl; k.j.gaston@sheffield.ac.uk</t>
  </si>
  <si>
    <t>Chown, Steven/ABD-7646-2021; Chown, Steven L/H-3347-2011</t>
  </si>
  <si>
    <t>1427 E 60TH ST, CHICAGO, IL 60637-2954 USA</t>
  </si>
  <si>
    <t>1537-5323</t>
  </si>
  <si>
    <t>10.1086/286190</t>
  </si>
  <si>
    <t>121LH</t>
  </si>
  <si>
    <t>WOS:000076014900005</t>
  </si>
  <si>
    <t>Sedgemore, KJF; Wright, JW; Williams, PJS; Jones, GOL; Rietveld, MT</t>
  </si>
  <si>
    <t>Plasma drift estimates from the Dynasonde: comparison with EISCAT measurements</t>
  </si>
  <si>
    <t>8th EISCAT Scientific Workshop</t>
  </si>
  <si>
    <t>JUN 23-27, 1997</t>
  </si>
  <si>
    <t>UNIV LEICESTER, LEICESTER, ENGLAND</t>
  </si>
  <si>
    <t>UNIV LEICESTER</t>
  </si>
  <si>
    <t>auroral ionosphere; plasma convection; instruments and techniques</t>
  </si>
  <si>
    <t>DIGISONDE</t>
  </si>
  <si>
    <t>Modern ionosondes make almost simultaneous measurements of the time rate of change of phase path in different directions and at different heights. By combining these 'Doppler' measurements and angles of arrival of many such radar echoes it is possible to derive reliable estimates of plasma drift velocity for a defined scattering volume. Results from both multifrequency and kinesonde-mode soundings at 3-min resolution show that the Dynasonde-derived F-region drift velocity is in good agreement with EISCAT, despite data loss during intervals of 'blanketing' by intense E-region ionisation. It is clear that the Tromso Dynasonde, employing standard operating modes, gives a reliable indication of overall convection patterns during quiet to moderately active conditions.</t>
  </si>
  <si>
    <t>Prifysgol Cymru Aberystwyth, Aberystwyth SY23 3BZ, Ceredigion, Wales; British Antarctic Survey, NERC, Cambridge CB3 0ET, England; EISCAT Sci Assoc, N-9020 Tromsdalen, Norway</t>
  </si>
  <si>
    <t>Aberystwyth University; UK Research &amp; Innovation (UKRI); Natural Environment Research Council (NERC); NERC British Antarctic Survey</t>
  </si>
  <si>
    <t>Univ Southampton, Dept Phys, Highfield SO17 1BJ, England.</t>
  </si>
  <si>
    <t>kjs@soton.ac.uk</t>
  </si>
  <si>
    <t>10.1007/s005850050683</t>
  </si>
  <si>
    <t>132XM</t>
  </si>
  <si>
    <t>WOS:000076656700002</t>
  </si>
  <si>
    <t>Blagoveshchenskaya, NF; Kornienko, VA; Petlenko, AV; Brekke, A; Rietveld, MT</t>
  </si>
  <si>
    <t>Geophysical phenomena during an ionospheric modification experiment at Tromso, Norway</t>
  </si>
  <si>
    <t>ionosphere (active experiments, ionosphere-magnetosphere interactions); radio science (nonlinear phenomena)</t>
  </si>
  <si>
    <t>STIMULATED ELECTROMAGNETIC EMISSION; E-REGION IRREGULARITIES; HEATING EXPERIMENTS; HEATER; RADAR; PULSATIONS; HARMONICS; FREQUENCY; WAVE; SIMULATION</t>
  </si>
  <si>
    <t>We present an analysis of phenomena observed by HF distance-diagnostic tools located in St. Petersburg combined with multi-instrument observation at Tromso in the HF modified ionosphere during a magnetospheric substorm. The observed phenomena that occurred during the Tromso heating experiment in the nightside auroral E-s region of the ionosphere depend on the phase of substorm. The heating excited small-scale field-aligned irregularities in the E region responsible for field-aligned scattering of diagnostic HF waves. The equipment used in the experiment was sensitive to electron density irregularities with wavelengths 12-15 m across the geomagnetic field lines. Analysis of the Doppler measurement data shows the appearance of quasiperiodic variations with a Doppler frequency shift, fd and periods about 100-120 s during the heating cycle coinciding in time with the first substorm activation and initiation of the upward field-aligned currents. A relationship between wave variations in f(d) and magnetic pulsations in the Y-component of the geomagnetic field at Tromso was detected. The analysis of the magnetic field variations from the IMAGE magnetometer stations shows that ULF waves occurred, not only at Tromso, but in the adjacent area bounded by geographical latitudes from 70.5 degrees to 68 degrees and longitudes from 16 degrees to 27 degrees. It is suggested that the ULF observed can result from superposition of the natural and heater-induced ULF waves. During the substorm expansion a strong stimulated electromagnetic emission (SEE) at the third harmonic of the downshifted maximum frequency was found. It is believed that SEE is accompanied by excitation of the VLF waves penetrating into magnetosphere and stimulating the precipitation of the energetic electrons (10-40 keV) of about I-min duration. This is due to a cyclotron resonant interaction of natural precipitating electrons (1-10 keV) with heater-induced whistler waves in the magnetosphere. It is reasonable to suppose that a new substorm activation, exactly above Tromso, was closely connected with the heater-induced precipitation of energetic electrons.</t>
  </si>
  <si>
    <t>Arctic &amp; Antarctic Res Inst, St Petersburg 199397, Russia; Univ Cources Svalbard, Svalbard, Norway; Univ Tromso, Auroral Observ, N-9037 Tromso, Norway; EISCAT, N-9027 Ramfjordbotn, Norway</t>
  </si>
  <si>
    <t>Arctic &amp; Antarctic Research Institute; UiT The Arctic University of Tromso</t>
  </si>
  <si>
    <t>Blagoveshchenskaya, NF (corresponding author), Arctic &amp; Antarctic Res Inst, St Petersburg 199397, Russia.</t>
  </si>
  <si>
    <t>Blagoveshchenskaya, Nataly/S-4342-2017</t>
  </si>
  <si>
    <t>Blagoveshchenskaya, Nataly/0000-0003-1752-3273</t>
  </si>
  <si>
    <t>10.1007/s00585-998-1212-5</t>
  </si>
  <si>
    <t>WOS:000076656700009</t>
  </si>
  <si>
    <t>Bratina, BJ; Stevenson, BS; Green, WJ; Schmidt, TM</t>
  </si>
  <si>
    <t>Manganese reduction by microbes from oxic regions of the Lake Vanda (Antarctica) water column</t>
  </si>
  <si>
    <t>APPLIED AND ENVIRONMENTAL MICROBIOLOGY</t>
  </si>
  <si>
    <t>RIBOSOMAL-RNA SEQUENCES; MARINE-SEDIMENTS; ANOXIC WATERS; IRON; BACTERIA; OXIDATION; BACTERIOPLANKTON; PACIFIC; SYSTEMS; PROBES</t>
  </si>
  <si>
    <t>Depth profiles of metals in Lake Vanda, a permanently ice-covered, stratified Antarctic lake, suggest the importance of particulate manganese oxides in the scavenging, transport, and release of metals. Since manganese oxides can be solubilized by manganese-reducing bacteria, microbially mediated manganese reduction was investigated in Lake Vanda. Microbes concentrated from oxic regions of the water column, encompassing a peak of soluble manganese [Mn(II)], reduced synthetic manganese oxides (MnO2) when incubated aerobically. Pure cultures of manganese-reducing bacteria were readily isolated from waters collected near the oxic Mn(II) peak Based on phylogenetic analysis of the 16S rRNA gene sequence, most of the isolated manganese reducers belong to the genus Carnobacterium. Cultures of a phylogenetically representative strain of Carnobacterium reduced synthetic MnO2 in the presence of sodium azide, as was seen in field assays. Unlike anaerobes that utilize manganese oxides as terminal electron accepters in respiration, isolates of the genus Carnobacterium reduced Mn(IV) via a diffusible compound under oxic conditions. The release of adsorbed trace metals accompanying the solubilization of manganese oxides may provide populations of Carnobacterium with a source of nutrients in this extremely oligotrophic environment.</t>
  </si>
  <si>
    <t>Michigan State Univ, Dept Microbiol, E Lansing, MI 48824 USA; Michigan State Univ, Ctr Microbial Ecol, E Lansing, MI 48824 USA; Miami Univ, Sch Interdisciplinary Studies, Oxford, OH 45056 USA</t>
  </si>
  <si>
    <t>Michigan State University; Michigan State University; University System of Ohio; Miami University</t>
  </si>
  <si>
    <t>Michigan State Univ, Dept Microbiol, Giltner Hall, E Lansing, MI 48824 USA.</t>
  </si>
  <si>
    <t>tschmidt@pilot.msu.edu</t>
  </si>
  <si>
    <t>Stevenson, Bradley/A-2786-2011</t>
  </si>
  <si>
    <t>Stevenson, Bradley/0000-0001-9432-9744; Schmidt, Thomas/0000-0002-8209-6055</t>
  </si>
  <si>
    <t>AMER SOC MICROBIOLOGY</t>
  </si>
  <si>
    <t>1752 N ST NW, WASHINGTON, DC 20036-2904 USA</t>
  </si>
  <si>
    <t>0099-2240</t>
  </si>
  <si>
    <t>1098-5336</t>
  </si>
  <si>
    <t>APPL ENVIRON MICROB</t>
  </si>
  <si>
    <t>Appl. Environ. Microbiol.</t>
  </si>
  <si>
    <t>126LP</t>
  </si>
  <si>
    <t>WOS:000076295100036</t>
  </si>
  <si>
    <t>Fabiano, M; Danovaro, R</t>
  </si>
  <si>
    <t>Enzymatic activity, bacterial distribution, and organic matter composition in sediments of the Ross Sea (Antarctica)</t>
  </si>
  <si>
    <t>MARINE-SEDIMENTS; DEGRADATION; CARBON; DETRITUS; RATIOS; IMPACT; BED</t>
  </si>
  <si>
    <t>Enzymatic activities of aminopeptidase and beta-glucosidase were investigated in Antarctic Boss Sea sediments at two sites (sites B and C, 567 and 439 m deep, respectively). The sites differed in trophic conditions related to organic matter (OM) composition and bacterial distribution. Carbohydrate concentrations at site B were about double those at site C, while protein and lipid levels were 10 times higher. Proteins were mainly found in a soluble fraction (&gt;90%). Chloropigment content was generally low and phaeopigments were almost absent, indicating the presence of reduced inputs of primary organic matter. ATP concentrations (as a measure of the living microbial biomass) were significantly higher at site B. By contrast, benthic bacterial densities at site C were about double those at site B. Bacterial parameters do not appear to be bottom-up controlled by the amount of available food but rather top-down controlled by meiofauna predatory pressure, which was significantly higher at site B. Aminopeptidase and beta-glucosidase extracellular enzyme activities (EEA) in Antarctic sediments appear to be high and comparable to those reported for temperate or Arctic sediments and characterized by low aminopeptidase/beta-glucosidase ratios (about 10). Activity profiles showed decreasing patterns with increasing sediment depth, indicating vertical shifts in both availability and nutritional quality of degradable Oil I. Vertical profiles of aminopeptidase activity were related to a decrease in protein concentration and/or to an increase in the insoluble refractory proteinaceous fraction. The highest aminopeptidase activity rates were observed at site C, characterized by much lower protein concentrations. Differences in EEA between sites do not seem to be explained by differences in the in situ temperature (-1.6 and -0.8 degrees C at sites B and C, respectively). Aminopeptidase activity profiles are consistent,with the bacterial biomass and frequency of dividing cells. Enzyme substrate affinity was generally dependent upon substrate concentrations. EIA normalized to bacterial numbers, indicated specific activities comparable to those reported for equally deep sediments at temperate latitudes. Vertical patterns of specific enzymatic activity appeared to be controlled by chloroplastic pigment concentrations that accumulate in the deeper sediment layers. The overall conclusion from the analysis of EEA in Antarctic sediments is that enzyme dependent transformations of OM proceed at rates similar to those measured in temperate environments. Protein carbon potentially liberated by aminopeptidase activities (12.597 to 26.190 mg of C m(-2) day(-1)) indicates that the whole protein pool could be mobilized within 1.3 to 17 h. Carbohydrate carbon mobilization (773 to 2,552 mg of C m(-2) day(-1)) is sufficient to turn over the carbohydrate pool within 16 to 20 h. Such rates are 6 to 45 times higher than fluxes of particulate organic proteins and carbohydrates, indicating an uncoupled hydrolysis by the Antarctic benthic assemblages, in which bacteria appear to be able to rapidly exploit episodic OM pulses.</t>
  </si>
  <si>
    <t>Univ Ancona, Fac Sci, Marine Biol Sect, Cattedra Biol Marina, I-60131 Ancona, Italy; Univ Genoa, Ist Sci Ambientali Marine, Genoa, Italy</t>
  </si>
  <si>
    <t>Marche Polytechnic University; University of Genoa</t>
  </si>
  <si>
    <t>Danovaro, R (corresponding author), Univ Ancona, Fac Sci, Marine Biol Sect, Cattedra Biol Marina, Via Brecce Bianche,Monte Ago, I-60131 Ancona, Italy.</t>
  </si>
  <si>
    <t>danovaro@popcsi.unian.it</t>
  </si>
  <si>
    <t>WOS:000076295100043</t>
  </si>
  <si>
    <t>Hatfield, E; Des Clers, S</t>
  </si>
  <si>
    <t>Fisheries management and research for Loligo gahi in the Falkland Islands</t>
  </si>
  <si>
    <t>CALIFORNIA COOPERATIVE OCEANIC FISHERIES INVESTIGATIONS REPORTS</t>
  </si>
  <si>
    <t>LONG-FINNED SQUID; POPULATION-STRUCTURE; VULGARIS-REYNAUDII; LIFE-HISTORY; DORBIGNY; GROWTH; ATLANTIC; STOCKS; PEALEI; WATERS</t>
  </si>
  <si>
    <t>Two squid species have been the subject of targeted fisheries in the southwest Atlantic since the early 1980s. The two fisheries have been managed in Falkland Islands waters since 1987 and provide an annual License revenue to the Falkland Islands government equivalent to some $35 (U.S.) million. The real-time assessment of the two species, Loligo gahi and Illex argentinus, is based on the Leslie-DeLury assessment model. The model assumes a single recruitment event before the start of the period used in fitting the model, and a closed population during the period. Early research on the demography and distribution of the Falkland Islands L. gahi population demonstrated ontogenetic descent with a probable associated coastward spawning migration. The L, gahi fishery concentrates by area and does not follow the migration pattern, indicating that the closed population assumption of the assessment model is invalid for much of the period assessed. Research has confirmed the variable nature of recruitment of microcohorts to the fishery overstretching the single-recruitment assumption of the Leslie-DeLury model. But research has also shown that there are periods of residency of L. gahi on the fishing grounds. The current assessment procedure uses these periods of residency to derive estimates of population depletion and therefore stock size. In this paper the salient features of the fishery for L, gahi are presented, and the crucial links between resource assessment, biological research, and management advice are discussed. Finally, directions for further research, needed to refine assessments and achieve some predictability of population processes, are identified.</t>
  </si>
  <si>
    <t>Hatfield, E (corresponding author), Natl Marine Fisheries Serv, NE Fisheries Sci Ctr, 166 Water St, Woods Hole, MA 02543 USA.</t>
  </si>
  <si>
    <t>ehatfiel@whsun1.wh.whoi.edu</t>
  </si>
  <si>
    <t>SCRIPPS INST OCEANOGRAPHY</t>
  </si>
  <si>
    <t>LA JOLLA</t>
  </si>
  <si>
    <t>A-003, LA JOLLA, CA 92093 USA</t>
  </si>
  <si>
    <t>0575-3317</t>
  </si>
  <si>
    <t>CAL COOP OCEAN FISH</t>
  </si>
  <si>
    <t>Calif. Coop. Ocean. Fish. Invest. Rep.</t>
  </si>
  <si>
    <t>149GF</t>
  </si>
  <si>
    <t>WOS:000077596200008</t>
  </si>
  <si>
    <t>Jackson, GD</t>
  </si>
  <si>
    <t>Research into the life history of Loligo opalescens:: Where to from here?</t>
  </si>
  <si>
    <t>SQUID PHOTOLOLIGO SP; STATOLITH MICROSTRUCTURE; IDIOSEPIUS-PYGMAEUS; EUROPEAN SQUID; FINNED SQUID; MARKET SQUID; GROWTH; AGE; CEPHALOPODS; SHELF</t>
  </si>
  <si>
    <t>Statolith ageing techniques have greatly aided our understanding of loliginid squid biology. We now know that life spans of loliginid squids are relatively short: most temperate species live for about a year or slightly more. Many tropical species appear to complete their life spans in fewer than 200 days. Early growth estimates for Loligo opalescens based on length-frequency analysis have suggested a life span of around two years. However, preliminary data from statolith ageing and culture of L. opalescens have shown that reproductive maturity can be reached in less than a year. Further research is needed to determine the life span of this species, but it is possible that it may not exceed one year. Research is especially needed to validate periodicity in statolith increments and to study latitudinal and seasonal variation in growth and maturity rates. This will provide the necessary data for future management and policy decisions. Other areas of research-the use of predators as sampling tools; investigation of the condition of and degradation of tissue in association with maturity; tracking studies using transmitters, radio acoustic positioning, and telemetry (RAFT) as well as traditional tagging; and Light trapping-may yield important biological data about L, opalescens.</t>
  </si>
  <si>
    <t>James Cook Univ N Queensland, Dept Marine Biol, Townsville, Qld 4811, Australia</t>
  </si>
  <si>
    <t>James Cook University</t>
  </si>
  <si>
    <t>Jackson, GD (corresponding author), Univ Tasmania, Inst Antarctic &amp; So Ocean Studies, GPO Box 252-77, Hobart, Tas 7001, Australia.</t>
  </si>
  <si>
    <t>george.jackson@utas.edu.au</t>
  </si>
  <si>
    <t>Jackson, George D/AAI-7315-2021</t>
  </si>
  <si>
    <t>WOS:000077596200010</t>
  </si>
  <si>
    <t>Klobes, U; Vetter, W; Luckas, B; Skirnisson, K; Plotz, J</t>
  </si>
  <si>
    <t>Levels and enantiomeric ratios of α-HCH, oxychlordane, and PCB 149 in blubber of harbour seals (Phoca vitulina) and grey seals (Halichoerus grypus) from Iceland and further species</t>
  </si>
  <si>
    <t>CHEMOSPHERE</t>
  </si>
  <si>
    <t>16th Symposium on Chlorinated Dioxins and Related Compounds</t>
  </si>
  <si>
    <t>AUG 12-16, 1996</t>
  </si>
  <si>
    <t>AMSTERDAM, NETHERLANDS</t>
  </si>
  <si>
    <t>RESOLUTION GAS-CHROMATOGRAPHY; POLYCHLORINATED-BIPHENYLS; TOXAPHENE CONGENERS; ENANTIOSELECTIVE DETERMINATION; MODIFIED CYCLODEXTRINS; CHLORDANE COMPONENTS; MASS-SPECTROMETRY; SEPARATION; BIOTA; HEXACHLOROCYCLOHEXANE</t>
  </si>
  <si>
    <t>The chiral stationary phase beta-TBDM (35% heptakis(6-O-tert.-butyldimethylsilyl-2,3-di-O-methyl)-beta-cyclodextrin in OV-1701) was applied to study the enantioenrichment of alpha-HCH, oxychlordane, and PCB 149 in blubber of two seal species from Iceland by gas chromatography with electron capture detection. The examined habour seals (Phoca vitulina) and grey seals (Halichoerus grypus) showed alpha-HCH enantiomeric ratios (ER) &gt; 1. The ER of PCB 149 was comparable in the two species from Iceland but for oxychlordane ER &lt; 1 was observed in harbour seals while the oxychlordane ER in grey seals was &gt; 1. In blubber of Weddell seals (Leptonychotes Weddelli) from the Antarctic we determined an alpha-HCH ER &lt; 1 which is in contrast to the Icelandic seal species and a sample from Lake Baikal (C)1998 Elsevier Science Ltd. All rights reserved</t>
  </si>
  <si>
    <t>Univ Jena, Inst Ernahrung &amp; Umwelt, D-07743 Jena, Germany; Univ Iceland, Keldur, Inst Expt Pathol, IS-118 Reykjavik, Iceland; Alfred Wegener Inst Polar &amp; Marine Res, D-27568 Bremerhaven, Germany</t>
  </si>
  <si>
    <t>Friedrich Schiller University of Jena; University of Iceland; Helmholtz Association; Alfred Wegener Institute, Helmholtz Centre for Polar &amp; Marine Research</t>
  </si>
  <si>
    <t>Vetter, W (corresponding author), Univ Jena, Inst Ernahrung &amp; Umwelt, Dornburger Str 25, D-07743 Jena, Germany.</t>
  </si>
  <si>
    <t>0045-6535</t>
  </si>
  <si>
    <t>Chemosphere</t>
  </si>
  <si>
    <t>OCT-NOV</t>
  </si>
  <si>
    <t>9-12</t>
  </si>
  <si>
    <t>10.1016/S0045-6535(98)00305-1</t>
  </si>
  <si>
    <t>Environmental Sciences</t>
  </si>
  <si>
    <t>132FB</t>
  </si>
  <si>
    <t>WOS:000076618700075</t>
  </si>
  <si>
    <t>Brix, O; Clements, KD; Wells, RMG</t>
  </si>
  <si>
    <t>An ecophysiological interpretation of hemoglobin multiplicity in three herbivorous marine teleost species from New Zealand</t>
  </si>
  <si>
    <t>COMPARATIVE BIOCHEMISTRY AND PHYSIOLOGY A-MOLECULAR AND INTEGRATIVE PHYSIOLOGY</t>
  </si>
  <si>
    <t>hemoglobin; marine; teleost fish; herbivore; oxygen transport; Bohr effect</t>
  </si>
  <si>
    <t>AMINO-ACID-SEQUENCE; OXYGEN EQUILIBRIA; FISH HEMOGLOBINS; ANGUILLA-ANGUILLA; ANTARCTIC FISHES; AMAZONIAN FISHES; BLOOD; COMPONENTS; AFFINITY; GIRELLA</t>
  </si>
  <si>
    <t>Hemoglobin components (isohemoglobins) and their isoelectric points (pI) were analysed for three herbivorous marine teleosts, and the functional properties of their unfractionated, stripped hemolysates were determined. Kyphosus sydneyanus and Girella tricuspidata possess six isohemoglobins and share a dominant cathodic band (pI = 8.61). Odax pullus possesses four isohemoglobins characterised by two strongly anodic bands (pI = 5.80, 4.89). Equilibrium binding studies of the hemolysate complexes from K. sydneyanus and G. tricuspidata revealed high oxygen affinities which were relatively insensitive to pH, whereas oxygen affinity was markedly lower and more pH sensitive in O. pullus. Moreover, hemoglobin-oxygen affinity was less temperature-sensitive in K. sydneyanus than in O. pullus. These observations support the hypothesis that hemoglobin oxygen loading in the cool-temperate species (O. pullus) may be compromised in the most northerly (warm) limits of its distribution, and that ecologically equivalent species in warmer and thermally variable habitats (K. sydneyanus and G. tricuspidata) possess more cathodic isohemoglobins which are less influenced by pH and temperature. (C) 1998 Elsevier Science Inc. All rights reserved.</t>
  </si>
  <si>
    <t>Univ Bergen, Dept Zool, N-5007 Bergen, Norway; Univ Auckland, Sch Biol Sci, Auckland 1, New Zealand</t>
  </si>
  <si>
    <t>University of Bergen; University of Auckland</t>
  </si>
  <si>
    <t>Brix, O (corresponding author), Univ Bergen, Dept Zool, N-5007 Bergen, Norway.</t>
  </si>
  <si>
    <t>Ole.Brix@zoo.uib.no</t>
  </si>
  <si>
    <t>Clements, Kendall/0000-0001-8512-5977</t>
  </si>
  <si>
    <t>ELSEVIER SCIENCE INC</t>
  </si>
  <si>
    <t>655 AVENUE OF THE AMERICAS, NEW YORK, NY 10010 USA</t>
  </si>
  <si>
    <t>1095-6433</t>
  </si>
  <si>
    <t>COMP BIOCHEM PHYS A</t>
  </si>
  <si>
    <t>Comp. Biochem. Physiol. A-Mol. Integr. Physiol.</t>
  </si>
  <si>
    <t>10.1016/S1095-6433(98)10121-6</t>
  </si>
  <si>
    <t>Biochemistry &amp; Molecular Biology; Physiology; Zoology</t>
  </si>
  <si>
    <t>143GE</t>
  </si>
  <si>
    <t>WOS:000077246200012</t>
  </si>
  <si>
    <t>Barange, M; Pakhomov, EA; Perissinotto, R; Froneman, PW; Verheye, HM; Taunton-Clark, J; Lucas, MI</t>
  </si>
  <si>
    <t>Pelagic community structure of the subtropical convergence region south of Africa and in the mid-Atlantic Ocean</t>
  </si>
  <si>
    <t>DEEP-SEA RESEARCH PART I-OCEANOGRAPHIC RESEARCH PAPERS</t>
  </si>
  <si>
    <t>PIGMENT CONCENTRATIONS; NEW-ZEALAND; ZONE; FRONTS; RETROFLECTION; ZOOPLANKTON; BIOMASS; BLOOMS; GUT</t>
  </si>
  <si>
    <t>Cross-frontal changes in the microphytoplankton, zooplankton and micronekton species composition and biomass were investigated in two sectors of the Subtropical Convergence region (STC) to evaluate patterns in the pelagic community in areas of contrasting hydrodynamic structure. The first sector was south of Africa (+/- 20 degrees E, winter 1993) where the frontal zone is relatively permanent and intense. The other sector plas in the mid-Atlantic ocean (+/- 2 degrees E, summer 1994) where the STC is ephemeral and weak. Higher biological diversity and weaker zonation patterns were observed in the mid-Atlantic sector, relative to the sector south of Africa. This indicates that the boundaries of the STC were more relaxed in the former region, suggesting that the structure in the mid-Atlantic community is less controlled by hydrodynamic forcing. In both sectors, species of Antarctic and subtropical origin were present on both sides of the convergence, suggesting that cross-frontal mixing was prevalent. Changes in the relative proportion of microphytoplankton, micro- and mesozooplankton in both regions appear to reflect the seasonality of sampling, rather than regional differences in the pelagic food web structure. Despite the marked contrast in the intensity of the hydrographic front between the two sectors, higher phytoplankton, zooplankton and mesopelagic fish abundances were consistently associated with the Subtropical Convergence, reflecting the importance of this region in the pelagic production of the south Atlantic Ocean. (C) 1998 Elsevier Science Ltd. All rights reserved.</t>
  </si>
  <si>
    <t>Sea Fisheries Res Inst, ZA-8012 Cape Town, South Africa; Rhodes Univ, Dept Zool &amp; Entomol, So Ocean Grp, ZA-6140 Grahamstown, South Africa; Univ Cape Town, Marine Biol Res Inst, Dept Zool, ZA-7700 Rondebosch, South Africa; Univ Cape Town, So Ocean Grp, SANAP, ZA-7700 Rondebosch, South Africa</t>
  </si>
  <si>
    <t>Rhodes University; University of Cape Town; University of Cape Town</t>
  </si>
  <si>
    <t>Sea Fisheries Res Inst, Private Bag X2, ZA-8012 Cape Town, South Africa.</t>
  </si>
  <si>
    <t>mbarange@sfri.wcape.gov.za</t>
  </si>
  <si>
    <t>Froneman, William/C-9085-2012; Barange, Manuel/D-2689-2016; Froneman, William/GLS-0460-2022</t>
  </si>
  <si>
    <t>Barange, Manuel/0000-0002-1508-0483; Froneman, William/0000-0003-0615-1355</t>
  </si>
  <si>
    <t>0967-0637</t>
  </si>
  <si>
    <t>1879-0119</t>
  </si>
  <si>
    <t>DEEP-SEA RES PT I</t>
  </si>
  <si>
    <t>Deep-Sea Res. Part I-Oceanogr. Res. Pap.</t>
  </si>
  <si>
    <t>10.1016/S0967-0637(98)00037-5</t>
  </si>
  <si>
    <t>147KR</t>
  </si>
  <si>
    <t>WOS:000077567700006</t>
  </si>
  <si>
    <t>Bradford-Grieve, J; Murdoch, R; James, M; Oliver, M; McLeod, J</t>
  </si>
  <si>
    <t>Mesozooplankton biomass, composition, and potential grazing pressure on phytoplankton during austral winter and spring 1993 in the Subtropical Convergence region near New Zealand</t>
  </si>
  <si>
    <t>SUB-ANTARCTIC COPEPODS; INGESTION RATE; PACIFIC-OCEAN; GUT-FULLNESS; ZOOPLANKTON; ATLANTIC; CALANUS; MICROZOOPLANKTON; ASSEMBLAGES; PLANKTON</t>
  </si>
  <si>
    <t>The biomass, composition, and grazing rates of three size fractions of mesozooplankton (200-500, 500-1000, and some &gt;1000 mu m) were estimated in shelf waters and the water masses associated with Subtropical Convergence east of New Zealand, in the austral winter and spring of 1993, as part of a larger New Zealand study of ocean carbon flux that contributes to the Joint Global Ocean Flux Study (JGOFS). The total biomass was largest in spring in all water types. It was similar to the biomass measurements made previously in subantarctic and subtropical water masses in the Southwest Pacific and those from the North Atlantic, except for the spring biomass in subtropical water which was unusually large (86.5 and 101.3 mg m(-3) dry weight). Biomass was concentrated in the upper 100 m, especially within the 0-25 or 25-50 m layers, both day and night. Night/day biomass ratios in the surface 100 m were often &gt;2, and are presumed to be the result of sampling patchy populations as well as vertical migration. Biomass was greatest for the &gt;1000 mu m fraction of the mesozooplankton population, followed by the 500-1000, and 200-500 mu m fractions, respectively.:The unusually small fraction of biomass residing in the 200-500 mu m fraction is assumed to be the result of predation by larger mesozooplankton. The mesozooplankton community had maximum gut fluorescence at night only at stations where chlorophyll a was &gt;2 mg m(-3) and at many of the stations gut fluorescence was persistently low. This was probably the result of the poor feeding environment, since a large proportion of the primary production resided in the &lt;2 mu m fraction. The total mean ingestion of phytoplankton was calculated to be 1-40 mgC m(-2) d(-1), based mainly on ingestion by the 200-500 and 500-1000 mu m fractions, which were dominated by herbivores or herbivores and omnivores. The heaviest prating pressure was in subtropical and Subtropical Convergence waters, in spring. Total grazing represented &lt;1-4% of daily total integrated primary production. Phytoplankton carbon ingested usually met only a small fraction of the basic metabolic requirements of the mesozooplankton. These data, and the fact that spring populations were apparently actively growing, since they contained a large proportion of developmental stages, imply that mesozooplankton diets were mainly microzooplankton. (C) 1998 Elsevier Science Ltd. All rights reserved.</t>
  </si>
  <si>
    <t>Natl Inst Water &amp; Atmospher Res, Wellington, New Zealand; Natl Inst Water &amp; Atmospher Res, Christchurch, New Zealand</t>
  </si>
  <si>
    <t>National Institute of Water &amp; Atmospheric Research (NIWA) - New Zealand; National Institute of Water &amp; Atmospheric Research (NIWA) - New Zealand</t>
  </si>
  <si>
    <t>Natl Inst Water &amp; Atmospher Res, Box 14901,301 Evans Bay Parade, Wellington, New Zealand.</t>
  </si>
  <si>
    <t>j.grieve@niwa.cri.nz</t>
  </si>
  <si>
    <t>Murdoch, Robin/0000-0003-1488-0267; Bradford-Grieve, Janet/0000-0002-3580-1217</t>
  </si>
  <si>
    <t>10.1016/S0967-0637(98)00039-9</t>
  </si>
  <si>
    <t>WOS:000077567700008</t>
  </si>
  <si>
    <t>Murrell, JC; McDonald, IR; Bourne, DG</t>
  </si>
  <si>
    <t>Molecular methods for the study of methanotroph ecology</t>
  </si>
  <si>
    <t>FEMS MICROBIOLOGY ECOLOGY</t>
  </si>
  <si>
    <t>methanotroph; methane monooxygenase; 16S rRNA; fluorescence microscopy</t>
  </si>
  <si>
    <t>GRADIENT GEL-ELECTROPHORESIS; PARTICULATE METHANE MONOOXYGENASE; 16S RIBOSOMAL-RNA; METHYLOCOCCUS-CAPSULATUS BATH; AMMONIA MONOOXYGENASE; FAMILY METHYLOCOCCACEAE; ENVIRONMENTAL-SAMPLES; OXIDIZING BACTERIA; I METHANOTROPH; GENE</t>
  </si>
  <si>
    <t>Methanotrophs are a fascinating group of bacteria that have the unique ability to grow on methane as their sole carbon and energy source. They appear to be widespread in nature and have been isolated from a number of different environments, including soils, sediments, freshwater, marine sediments, seawater, acid peal bogs, hot springs and cold environments such as the Antarctic. There are now eight recognised genera of methanotrophs. Methanotrophs have attracted a great deal of interest over the past 30 years since they have considerable potential for the production of bulk chemicals, fine chemicals and in bioremediation processes, such as the degradation of the groundwater pollutant trichloroethylene. More recently, they are being extensively studied in a wide variety of environments since methanotrophs play a critical role in the global methane cycle. Polymerase chain reaction-based methods have been used to study the ecology and diversity of methanotrophs. We review here molecular ecology methods that are already available or which are currently being developed for methanotrophs. These are based on 16S ribosomal RNA technology and specific amplification of 'functional genes', such as those encoding unique enzymes in the metabolism of these organisms including methane monooxygenase and methanol dehydrogenase. (C) 1998 Federation of European Microbiological Societies. Published by Elsevier Science B.V. All rights reserved.</t>
  </si>
  <si>
    <t>Univ Warwick, Dept Biol Sci, Coventry CV4 7AL, W Midlands, England</t>
  </si>
  <si>
    <t>University of Warwick</t>
  </si>
  <si>
    <t>Univ Warwick, Dept Biol Sci, Coventry CV4 7AL, W Midlands, England.</t>
  </si>
  <si>
    <t>CM@dna.bio.warwick.ac.uk</t>
  </si>
  <si>
    <t>McDonald, Ian R/A-4851-2008; Murrell, John C/B-1443-2012; Bourne, David G/B-5073-2008</t>
  </si>
  <si>
    <t>McDonald, Ian R/0000-0002-4847-6492;</t>
  </si>
  <si>
    <t>0168-6496</t>
  </si>
  <si>
    <t>1574-6941</t>
  </si>
  <si>
    <t>FEMS MICROBIOL ECOL</t>
  </si>
  <si>
    <t>FEMS Microbiol. Ecol.</t>
  </si>
  <si>
    <t>128YV</t>
  </si>
  <si>
    <t>WOS:000076436700001</t>
  </si>
  <si>
    <t>Kozlova, TA</t>
  </si>
  <si>
    <t>Lipid class composition of benthic-pelagic fishes (Cottocomephorus, Cottoidei) from Lake Baikal</t>
  </si>
  <si>
    <t>FISH PHYSIOLOGY AND BIOCHEMISTRY</t>
  </si>
  <si>
    <t>sculpin; liver; gonad; muscle; triacylglycerol; phospholipid</t>
  </si>
  <si>
    <t>FATTY-ACID COMPOSITION; NOTOTHENIOID FISHES; ANTARCTIC FISH; BUOYANCY; BIOCHEMISTRY; SYSTEMS</t>
  </si>
  <si>
    <t>A study was made of the lipid class composition in liver, gonads and red and white muscle of two endemic Baikal fish species Cottocomephorus grewingki and Cottocomephorus inermis. The main lipid classes were triacylglycerols and phospholipids. The highest levels of triacylglycerol (81.8%) were found in the liver of C. inermis males, and of phospholipid (38.3%) - in males testes of both species. The main phospholipid classes were phosphatidylcholine and phosphatidylethanolamine, which varied in examined organs and tissues in both fish species from 44.3 to 78.7%, and from 16.8 to 42.1%, respectively.</t>
  </si>
  <si>
    <t>Russian Acad Sci, Inst Limnol, Siberian Div, Irkutsk 664003, Russia</t>
  </si>
  <si>
    <t>Russian Academy of Sciences; Irkutsk Science Centre of the Russian Academy of Sciences; Limnological Institute SB RAS</t>
  </si>
  <si>
    <t>Kozlova, TA (corresponding author), Russian Acad Sci, Inst Limnol, Siberian Div, Irkutsk 664003, Russia.</t>
  </si>
  <si>
    <t>0920-1742</t>
  </si>
  <si>
    <t>FISH PHYSIOL BIOCHEM</t>
  </si>
  <si>
    <t>Fish Physiol. Biochem.</t>
  </si>
  <si>
    <t>10.1023/A:1007706831689</t>
  </si>
  <si>
    <t>Biochemistry &amp; Molecular Biology; Fisheries; Physiology</t>
  </si>
  <si>
    <t>144KC</t>
  </si>
  <si>
    <t>WOS:000077312900003</t>
  </si>
  <si>
    <t>Jackson, GD; Wadley, VA</t>
  </si>
  <si>
    <t>Age, growth, and reproduction of the tropical squid Nototodarus hawaiiensis (Cephalopoda: Ommastrephidae) off the North West Slope of Australia</t>
  </si>
  <si>
    <t>FISHERY BULLETIN</t>
  </si>
  <si>
    <t>MOROTEUTHIS-INGENS CEPHALOPODA; NEW-ZEALAND WATERS; STATOLITH MICROSTRUCTURE; TODARODES-PACIFICUS; ILLEX-ILLECEBROSUS; INCREMENT ANALYSIS; SEXUAL-MATURATION; ONYCHOTEUTHIDAE; OEGOPSIDA; LOLIGINIDAE</t>
  </si>
  <si>
    <t>The age, growth, and reproduction of the tropical Indo-Pacific ommastrephid squid Nototodarus hawaiiensis was studied on the North West Slope of Australia. The weight, mantle length (ML), gonad weight, and nidamental gland length were measured for 37 males and 52 females captured in January and February 1992 and ranging in size from 42 mm ML to 214 mm ML. Statolith increments were counted, as a proxy for age. The number of statolith increments, counted on 42 of the squid, ranged from 49 to 195. The relation between increment number (i.e. age) and ML was linear for both sexes. The relation between increment number and ovary weight, and between increment number and testis weight, had greater variability than did ML versus ovary weight, and ML versus testis weight, indicating a large range in age at maturity in individuals of similar size. Some statoliths showed two prominent zones, the origins of which are uncertain. Back-calculated hatch dates indicated that all squid hatched between July and December 1991 and that the majority hatched between August and October (Austral spring).</t>
  </si>
  <si>
    <t>Univ Tasmania, Inst Antarctic &amp; So Ocean Studies, Hobart, Tas 7000, Australia; James Cook Univ N Queensland, Dept Marine Biol, Townsville, Qld 4811, Australia; CSIRO, Div Marine Res, Hobart, Tas 7001, Australia</t>
  </si>
  <si>
    <t>University of Tasmania; James Cook University; Commonwealth Scientific &amp; Industrial Research Organisation (CSIRO)</t>
  </si>
  <si>
    <t>Jackson, GD (corresponding author), Univ Tasmania, Inst Antarctic &amp; So Ocean Studies, Hobart, Tas 7000, Australia.</t>
  </si>
  <si>
    <t>NATL MARINE FISHERIES SERVICE SCIENTIFIC PUBL OFFICE</t>
  </si>
  <si>
    <t>SEATTLE</t>
  </si>
  <si>
    <t>7600 SAND POINT WAY NE BIN C15700, SEATTLE, WA 98115 USA</t>
  </si>
  <si>
    <t>0090-0656</t>
  </si>
  <si>
    <t>FISH B-NOAA</t>
  </si>
  <si>
    <t>Fish. Bull.</t>
  </si>
  <si>
    <t>131UJ</t>
  </si>
  <si>
    <t>WOS:000076593400008</t>
  </si>
  <si>
    <t>Hunter, MA; Bickle, MJ; Nisbet, EG; Martin, A; Chapman, HJ</t>
  </si>
  <si>
    <t>Continental extensional setting for the Archean Belingwe Greenstone Belt, Zimbabwe</t>
  </si>
  <si>
    <t>SM-ND; CRATON; STROMATOLITES; GEOCHEMISTRY; KOMATIITES; SEDIMENTS; EVOLUTION; RHODESIA; ORIGIN; MANTLE</t>
  </si>
  <si>
    <t>The tectonic setting of the Archean Ngezi Group greenstones in the Belingwe Greenstone Belt, Zimbabwe, is controversial. Both autochthonous continental and oceanic settings have been proposed. The sedimentary facies of the basal Manjeri Formation have been logged in surface sections and in drill cores. Deposition occurred under fluviatile and shallow-marine conditions followed by alluvial fans and fan-deltas. Detrital mineralogy, rare-earth-element patterns, and Sm-Nd depleted-mantle model ages between 2.9 and 3.7 Ga are consistent with derivation from very local sources. The facies and geochemical association imply sedimentation in an extensional continental setting.</t>
  </si>
  <si>
    <t>Univ Cambridge, Dept Earth Sci, Cambridge CB2 3EQ, England; Univ London, Royal Holloway &amp; Bedford New Coll, Dept Geol, Egham TW20 0EX, Surrey, England</t>
  </si>
  <si>
    <t>University of Cambridge; University of London; Royal Holloway University London</t>
  </si>
  <si>
    <t>Hunter, MA (corresponding author), British Antarctic Survey, High Cross,Madingley Rd, Cambridge CB3 0ET, England.</t>
  </si>
  <si>
    <t>Bickle, Michael J/A-7316-2012</t>
  </si>
  <si>
    <t>10.1130/0091-7613(1998)026&lt;0883:CESFTA&gt;2.3.CO;2</t>
  </si>
  <si>
    <t>125AG</t>
  </si>
  <si>
    <t>WOS:000076214800005</t>
  </si>
  <si>
    <t>Rodger, CJ</t>
  </si>
  <si>
    <t>James Wait - In memoriam</t>
  </si>
  <si>
    <t>IEEE ANTENNAS AND PROPAGATION MAGAZINE</t>
  </si>
  <si>
    <t>Biographical-Item</t>
  </si>
  <si>
    <t>British Antarctic Survey, NERC, Upper Atmospher Sci Div, Cambridge CB3 0ET, England</t>
  </si>
  <si>
    <t>Rodger, CJ (corresponding author), British Antarctic Survey, NERC, Upper Atmospher Sci Div, High Cross,Madingley Rd, Cambridge CB3 0ET, England.</t>
  </si>
  <si>
    <t>Rodger, Craig/A-1501-2011</t>
  </si>
  <si>
    <t>Rodger, Craig J./0000-0002-6770-2707</t>
  </si>
  <si>
    <t>IEEE-INST ELECTRICAL ELECTRONICS ENGINEERS INC</t>
  </si>
  <si>
    <t>345 E 47TH ST, NEW YORK, NY 10017-2394 USA</t>
  </si>
  <si>
    <t>1045-9243</t>
  </si>
  <si>
    <t>IEEE ANTENNAS PROPAG</t>
  </si>
  <si>
    <t>IEEE Antennas Propag. Mag.</t>
  </si>
  <si>
    <t>Engineering, Electrical &amp; Electronic; Telecommunications</t>
  </si>
  <si>
    <t>Engineering; Telecommunications</t>
  </si>
  <si>
    <t>145RF</t>
  </si>
  <si>
    <t>WOS:000077384600009</t>
  </si>
  <si>
    <t>Traykovski, LVM; Stanton, TK; Wiebe, PH; Lynch, JF</t>
  </si>
  <si>
    <t>Model-based covariance mean variance classification techniques: Algorithm development and application to the acoustic classification of zooplankton</t>
  </si>
  <si>
    <t>IEEE JOURNAL OF OCEANIC ENGINEERING</t>
  </si>
  <si>
    <t>acoustics; broad-band; classification; inversion; scattering models; zooplankton</t>
  </si>
  <si>
    <t>SOUND-SCATTERING; TARGET STRENGTH; EUPHAUSIA-SUPERBA; ANTARCTIC KRILL; FLUID CYLINDERS; FINITE LENGTH; BACKSCATTERING; ABUNDANCE; INVERSIONS; DEPENDENCE</t>
  </si>
  <si>
    <t>For inversion problems in which the theoretical relationship between observed data and model parameters is well characterized, a promising approach to the classification problem is the application of techniques that capitalize on the predictive power of class-specific models. Theoretical models have been developed for three zooplankton scattering classes (hard elastic-shelled, e.g., pteropods; fluid-like, e,g,, euphausiids; and gas-bearing, e.g., siphonophores), providing a sound basis for model-based classification approaches. The Covariance Mean Variance Classification (CMVC) techniques classify broad-band echoes from individual zooplankton based on comparisons of observed echo spectra to model space realizations. Three different CMVC algorithms were developed: the Integrated Score Classifier, the Pairwise Score Classifier, and the Bayesian Probability Classifier; these classifiers assign observations to a class based on similarities in covariance, mean, and variance while accounting for model space ambiguity and validity. The CMVC techniques were applied to broad-band (similar to 350-750 kHz) echoes acquired from 24 different zooplankton to invert for scatterer class and properties. All three classification algorithms had a high rate of success with high-quality high SNR data. Accurate acoustic classification of zooplankton species has the potential to significantly improve estimates of zooplankton biomass made from ocean acoustic backscatter measurements.</t>
  </si>
  <si>
    <t>Woods Hole Oceanog Inst, Dept Biol, Woods Hole, MA 02543 USA; Woods Hole Oceanog Inst, Dept Appl Ocean Phys &amp; Engn, Woods Hole, MA 02543 USA; MIT Woods Hole Oceanog Inst Joint Program Oceanog, Woods Hole, MA USA</t>
  </si>
  <si>
    <t>Woods Hole Oceanographic Institution; Woods Hole Oceanographic Institution; Massachusetts Institute of Technology (MIT)</t>
  </si>
  <si>
    <t>Traykovski, LVM (corresponding author), Woods Hole Oceanog Inst, Dept Biol, MS 32, Woods Hole, MA 02543 USA.</t>
  </si>
  <si>
    <t>Wiebe, Peter/0000-0002-6059-4651</t>
  </si>
  <si>
    <t>0364-9059</t>
  </si>
  <si>
    <t>IEEE J OCEANIC ENG</t>
  </si>
  <si>
    <t>IEEE J. Ocean. Eng.</t>
  </si>
  <si>
    <t>10.1109/48.725230</t>
  </si>
  <si>
    <t>Engineering, Civil; Engineering, Ocean; Engineering, Electrical &amp; Electronic; Oceanography</t>
  </si>
  <si>
    <t>Engineering; Oceanography</t>
  </si>
  <si>
    <t>129TV</t>
  </si>
  <si>
    <t>WOS:000076479800004</t>
  </si>
  <si>
    <t>Bowman, JP; Gosink, JJ; McCammon, SA; Lewis, TE; Nichols, DS; Nichols, PD; Skerratt, JH; Staley, JT; McMeekin, TA</t>
  </si>
  <si>
    <t>Colwellia demingiae sp. nov., Colwellia hornerae sp. nov., Colwellia rossensis sp. nov. and Colwellia psychrotropica sp. nov.:: psychrophilic Antarctic species with the ability to synthesize docosahexaenoic acid (22:6ω3)</t>
  </si>
  <si>
    <t>INTERNATIONAL JOURNAL OF SYSTEMATIC BACTERIOLOGY</t>
  </si>
  <si>
    <t>Antarctic sea ice; polyunsaturated fatty acids; docosahexaenoic acid; psychrophilic bacteria; Colwellia</t>
  </si>
  <si>
    <t>POLYUNSATURATED FATTY-ACIDS; RIBOSOMAL-RNA; GEN-NOV; SEA-ICE; BACTERIUM; DIVERSITY; DNA; TEMPERATURE; SHEWANELLA; SEQUENCE</t>
  </si>
  <si>
    <t>As part of a general survey of the biodiversity and inherent ecophysiology of bacteria associated with coastal Antarctic sea-ice diatom assemblages, eight strains were identified by 165 rRNA sequence analysis as belonging to the genus Colwellia. The isolates were non-pigmented, curved rod-like cells which exhibited psychrophilic and facultative anaerobic growth and possessed an Department of absolute requirement for sea water. One isolate was able to form gas vesicles. All strains synthesized the omega 3 polyunsaturated fatty acid (PUFA) docosahexaenoic acid (22:6 omega 3, DHA) (0.7-8.0 % of total fatty acids). Previously, DHA has only been detected in strains isolated from deep-sea benthic and faunal habitats and is associated with enhanced survival in permanently cold habitats. The G+C content of the DNA from the Antarctic Colwellia strains ranged from 35 to 42 mol% and DNA-DNA hybridization analyses indicated that the isolates formed five genospecies, including the species Colwellia psychrerythraea (ACAM 550(T)). 16S rRNA sequence analysis indicated that the strains formed a cluster in the gamma-subclass of the Proteobacteria with Colwellia psychrerythraea. Sequence similarities ranged from 95.2 to 100% between the various Antarctic Colwellia isolates. Phenotypic characterization confirmed distinct differences between the different genospecies. These studies indicate that the DHA-producing Antarctic isolates consist of five different Colwellia species: Colwellia psychrerythraea and four novel species with the proposed names Colwellia demingiae sp. nov. (ACAM 459(T)), Colwellia psychrotropica sp. nov. (ACAM 179(T)), Colwellia rossensis sp. nov. (ACAM 608(T)) and Colwellia hornerae sp. nov. (ACAM 607(T)).</t>
  </si>
  <si>
    <t>Univ Tasmania, Antarctic CRC, Hobart, Tas 7001, Australia; Univ Tasmania, Dept Agr Sci, Hobart, Tas 7001, Australia; Univ Washington, Dept Microbiol, Seattle, WA 98195 USA; CSIRO, Div Marine Res, Hobart, Tas 7001, Australia</t>
  </si>
  <si>
    <t>University of Tasmania; University of Tasmania; University of Washington; University of Washington Seattle; Commonwealth Scientific &amp; Industrial Research Organisation (CSIRO)</t>
  </si>
  <si>
    <t>Bowman, JP (corresponding author), Univ Tasmania, Antarctic CRC, GPO Box 252-80, Hobart, Tas 7001, Australia.</t>
  </si>
  <si>
    <t>john.bowman@utas.edu.au</t>
  </si>
  <si>
    <t>skerratt, jennifer/N-4313-2019; Bowman, John P/C-2414-2014; Nichols, Peter D/C-5128-2011; Bowman, John P./ABF-5108-2020; Skerratt, Jennifer/F-2010-2015</t>
  </si>
  <si>
    <t>skerratt, jennifer/0000-0001-9023-4692; Bowman, John P/0000-0002-4528-9333; Bowman, John P./0000-0002-4528-9333; Skerratt, Jennifer/0000-0001-9023-4692; Nichols, David/0000-0002-8066-3132</t>
  </si>
  <si>
    <t>0020-7713</t>
  </si>
  <si>
    <t>INT J SYST BACTERIOL</t>
  </si>
  <si>
    <t>Int. J. Syst. Bacteriol.</t>
  </si>
  <si>
    <t>10.1099/00207713-48-4-1171</t>
  </si>
  <si>
    <t>138LU</t>
  </si>
  <si>
    <t>WOS:000076974000009</t>
  </si>
  <si>
    <t>Bowman, JP; McCammon, SA; Brown, JL; McMeekin, TA</t>
  </si>
  <si>
    <t>Glaciecola punicea gen. nov., sp. nov. and Glaciecola pallidula gen. nov., sp. nov.:: psychrophilic bacteria from Antarctic sea-ice habitats</t>
  </si>
  <si>
    <t>Antarctica; sea ice; psychrophilic bacteria; Glaciecola gen. nov.; Alteromonas</t>
  </si>
  <si>
    <t>GAS VACUOLATE BACTERIA; BIODIVERSITY; WATER; DNA</t>
  </si>
  <si>
    <t>A group of pigmented, psychrophilic, strictly aerobic chemoheterotrophs isolated from sea-ice cores collected from coastal areas of eastern Antarctica University of Tasmania, was found to represent a novel 165 rRNA lineage within the gamma subclass Of the Proteobacteria, adjacent to the genus Alteromonas. The isolates are motile, Gram-negative, rod-shaped cells, which are psychrophilic and slightly halophilic, and possess an absolute requirement for seawater. Differences in phenotypic characteristics and DNA-DNA hybridization indicated the isolates formed two distinct taxa which have DNA G+C contents of 44-46 mol % and 40 mol%, respectively. Whole-cell fatty acid profiles of the isolates were however very similar and included 16:1 omega 7c, 18:1 omega 7c, 16:0 and 17:1 omega 8c as the major fatty acid components. Overall, sufficient differences exist to distinguish the sea-ice strains from currently recognized bacterial genera. It is proposed the sea-ice strains represent a new genus, Glaciecola, which contains two species, Glaciecola punicea gen. nov., sp. nov. (ACAM 611(T)) and Glaciecola pallidula gen. nov., sp. nov. (ACAM 615(T)).</t>
  </si>
  <si>
    <t>Univ Tasmania, Antarctic CRC, Hobart, Tas 7001, Australia; Univ Tasmania, Dept Agr Sci, Hobart, Tas 7001, Australia</t>
  </si>
  <si>
    <t>University of Tasmania; University of Tasmania</t>
  </si>
  <si>
    <t>Bowman, John P./ABF-5108-2020; Bowman, John P/C-2414-2014; Brown, Janelle/B-6629-2011</t>
  </si>
  <si>
    <t>Bowman, John P./0000-0002-4528-9333; Bowman, John P/0000-0002-4528-9333; Brown, Janelle/0000-0002-9125-8474</t>
  </si>
  <si>
    <t>10.1099/00207713-48-4-1213</t>
  </si>
  <si>
    <t>WOS:000076974000014</t>
  </si>
  <si>
    <t>Yumoto, I; Kawasaki, K; Iwata, H; Matsuyama, H; Okuyama, H</t>
  </si>
  <si>
    <t>Assignment of Vibrio sp. strain ABE-1 to Colwellia maris sp. nov., a new psychrophilic bacterium</t>
  </si>
  <si>
    <t>Colwellia maris sp. nov.; psychrophilic bacterium; Vibrio</t>
  </si>
  <si>
    <t>COMPLETE NUCLEOTIDE-SEQUENCE; ANTARCTIC SEA-ICE; GEN-NOV; ISOCITRATE DEHYDROGENASE; PHYLOGENETIC DIVERSITY; ESCHERICHIA-COLI; FATTY-ACID; ALTEROMONAS; SHEWANELLA; MARINOMONAS</t>
  </si>
  <si>
    <t>A psychrophilic bacterium, previously described as Vibrio sp, strain ABE-1(T), has been reassigned by phenotypic characterization, chemotaxonomic analysis and 16S rRNA phylogenetic analysis. The organism was curved rods and it could reduce nitrate to nitrite and hydrolyse gelatin and DNA, but not chitin. NaCl was required for growth. This strain was susceptible to the vibriostatic compound O/129. The major isoprenoid quinone was ubiquinone-8 and the DNA G+C content was 39.4 mol%. The whole-cell fatty acids comprised saturated ana monounsaturated fatty acids with 10-18 C atoms; saturated and monounsaturated C-16 fatty acids were predominant. Strain ABE-1(T) contained the unique trans-unsaturated fatty acid, 9-trans-hexadecenoic acid. Although strain ABE-1T has been identified as a Vibrio species, the strain did not ferment glucose. Phylogenetic analysis based on 16S rRNA sequencing indicated that strain ABE-1T was more closely related to Colwellia species than to Vibrio species. However, strain ABE-lr differed from other reported Colwellia species in terms of phylogenetic position, some phenotypic characteristics, chemotaxonomic analysis and relatedness by DNA-DNA hybridization. Accordingly, the name Colwellia maris is proposed. The type strain is ABE-1(T) (= JCM 10085(T)).</t>
  </si>
  <si>
    <t>Hokkaido Natl Ind Res Inst, Biosci &amp; Chem Div, Toyohira Ku, Sapporo, Hokkaido 0628517, Japan; Hokkaido Tokai Univ, Sch Engn, Dept Biosci &amp; Technol, Sapporo, Hokkaido 0058601, Japan; Hokkaido Univ, Lab Environm Mol Biol, Grad Sch Environm Earth Sci, Sapporo, Hokkaido 0600810, Japan</t>
  </si>
  <si>
    <t>National Institute of Advanced Industrial Science &amp; Technology (AIST); Tokai University; Hokkaido University</t>
  </si>
  <si>
    <t>Yumoto, I (corresponding author), Hokkaido Natl Ind Res Inst, Biosci &amp; Chem Div, Toyohira Ku, Sapporo, Hokkaido 0628517, Japan.</t>
  </si>
  <si>
    <t>yumoto@hniri.go.jp</t>
  </si>
  <si>
    <t>Yumoto, Isao/N-2053-2018; Kawasaki, Kosei/M-8103-2018</t>
  </si>
  <si>
    <t>Yumoto, Isao/0000-0001-9525-3155; Kawasaki, Kosei/0000-0003-2382-2640</t>
  </si>
  <si>
    <t>10.1099/00207713-48-4-1357</t>
  </si>
  <si>
    <t>WOS:000076974000029</t>
  </si>
  <si>
    <t>McCammon, SA; Innes, BH; Bowman, JP; Franzmann, PD; Dobson, SJ; Holloway, PE; Skerratt, JH; Nichols, PD; Rankin, LM</t>
  </si>
  <si>
    <t>Flavobacterium hibernum sp. nov., a lactose-utilizing bacterium from a freshwater Antarctic lake</t>
  </si>
  <si>
    <t>Flavobacterium hibernum; psychrotroph; beta-galactosidase; Antarctica</t>
  </si>
  <si>
    <t>PERFORMANCE LIQUID-CHROMATOGRAPHY; GENUS FLAVOBACTERIUM; CLASSIFICATION; MICROORGANISMS; TEMPERATURE; ACID</t>
  </si>
  <si>
    <t>Four freshwater Antarctic lakes were examined for the presence of beta-galactosidase-producing bacteria using mineral medium enrichments and lactose. Enrichments from only one of the lakes produced growth and two Four freshwater Antarctic lakes were examined for the presence of beta-strains were isolated that were very similar in phenotype and fatty acid profile, and shared considerable homology in their DNA (DNA-DNA hybridization = 93+/-7%). The strains were psychrotrophic with theoretical T-max, T-min and T-opt of 30-31, -7 degrees and 26 degrees C, respectively. The beta-galactosidase in cell extracts had an optimal activity at 39 degrees C. The strains were Gram-negative rods, showed gliding motility, contained branched and hydroxy fatty acids, and menaquinone 6 as the major respiratory quinone. The strains did not form microcysts and utilized lactose while using ammonium ions as a source of nitrogen, and a range of other sugars. The G+C content of the DNA was 34 mol%. Phylogenetic analysis of one of the strains, by comparison of 16S rDNA sequences, showed that it was most similar, but not identical to, Flavobacterium columnare and '[Sporocytophaga] cauliformis'. Both species could be differentiated phenotypically from the Antarctic isolates. DNA-DNA hybridization of the Antarctic isolate with six different members of the Flavobacterium 16S rDNA cluster showed no strain with greater than 18% relatedness. The nearest type species to the Antarctic isolate in the phylogenetic analysis was Flavobacterium aquatile. The name Flavobacterium hibernum is proposed for the Antarctic strains, and the type strain is ATCC 51468(T) (= ACAM 376(T)).</t>
  </si>
  <si>
    <t>CSIRO, Floreat Pk, WA 6014, Australia; Univ Tasmania, Antarctic CRC, Hobart, Tas 7001, Australia; Australian Antarctic Div, Kingston, Tas 7050, Australia</t>
  </si>
  <si>
    <t>Commonwealth Scientific &amp; Industrial Research Organisation (CSIRO); University of Tasmania; Australian Antarctic Division</t>
  </si>
  <si>
    <t>Franzmann, PD (corresponding author), CSIRO, Underwood Ave, Floreat Pk, WA 6014, Australia.</t>
  </si>
  <si>
    <t>Peter.Franzmann@per.clw.csiro.au</t>
  </si>
  <si>
    <t>Nichols, Peter D/C-5128-2011; Bowman, John P/C-2414-2014; Skerratt, Jennifer/F-2010-2015; Bowman, John P./ABF-5108-2020; skerratt, jennifer/N-4313-2019</t>
  </si>
  <si>
    <t>Bowman, John P/0000-0002-4528-9333; Skerratt, Jennifer/0000-0001-9023-4692; Bowman, John P./0000-0002-4528-9333; skerratt, jennifer/0000-0001-9023-4692</t>
  </si>
  <si>
    <t>10.1099/00207713-48-4-1405</t>
  </si>
  <si>
    <t>WOS:000076974000035</t>
  </si>
  <si>
    <t>Ray, MK; Kumar, GS; Janiyani, K; Kannan, K; Jagtap, P; Basu, MK; Shivaji, S</t>
  </si>
  <si>
    <t>Adaptation to low temperature and regulation of gene expression in antarctic psychrotrophic bacteria</t>
  </si>
  <si>
    <t>JOURNAL OF BIOSCIENCES</t>
  </si>
  <si>
    <t>International Workshop on Molecular Biology of Stress Responses</t>
  </si>
  <si>
    <t>OCT 14-17, 1997</t>
  </si>
  <si>
    <t>BANARAS HINDU UNIV, VARANASI, INDIA</t>
  </si>
  <si>
    <t>BANARAS HINDU UNIV</t>
  </si>
  <si>
    <t>Antarctic bacteria; cold adaptation; cold-shock proteins; temperature sensing; cold induced gene expression</t>
  </si>
  <si>
    <t>COLD-SHOCK PROTEIN; POLYUNSATURATED FATTY-ACIDS; ESCHERICHIA-COLI; BACILLUS-SUBTILIS; PSEUDOMONAS-SYRINGAE; PSYCHROPHILIC BACTERIUM; ALKALINE-PHOSPHATASE; CRYSTAL-STRUCTURE; CELL VIABILITY; ALPHA-AMYLASE</t>
  </si>
  <si>
    <t>Exposure to extremes of temperatures cause stresses which are sometimes lethal to living cells. Microorganisms in nature, however, are extremely diverse and some of them can live happily in the freezing cold of Antarctica. Among the cold adapted psychrotrophs and psychrophiles, the psychrotrophic bacteria are the predominant forms in the continental Antarctica. In spite of living in permanently cold area, the antarctic bacteria exhibit, similar to mesophiles, 'cold-shock' response albeit at a much lower temperatures, e.g., at 0-5 degrees C. However, because of permanently cold condition and the long isolation of the continent, the microorganisms have acquired new adaptive features in the membranes, enzymes and macromolecular synthesis. Only recently these adaptive modifications are coming into light due to the efforts of various laboratories around the world. However, a lot more is known about adaptive response to low temperature in mesophilic bacteria than in antarctic bacteria. Combined knowledge from the two systems is providing useful clues to the understanding of basic biology of low temperature growing organisms. This article will provide an overview of this area of research with a special reference to sensing of temperature and regulation of gene expression at lower temperature.</t>
  </si>
  <si>
    <t>Ctr Cellular &amp; Mol Biol, Hyderabad 500007, Andhra Pradesh, India</t>
  </si>
  <si>
    <t>Council of Scientific &amp; Industrial Research (CSIR) - India; CSIR - Centre for Cellular &amp; Molecular Biology (CCMB)</t>
  </si>
  <si>
    <t>Ctr Cellular &amp; Mol Biol, Uppal Rd, Hyderabad 500007, Andhra Pradesh, India.</t>
  </si>
  <si>
    <t>malay@ccmb.ap.nic.in</t>
  </si>
  <si>
    <t>Kumar, Gopinatha Suresh/W-1461-2019; V, Santhosh kumar/JXL-8110-2024; Kumar, Dr Suresh/HHZ-2615-2022; Kumar, Senthil T/JCO-2901-2023</t>
  </si>
  <si>
    <t>Kumar, Dr Suresh/0000-0002-2539-6553; shivaji, sisinthy/0000-0003-0376-4658; Jagtap, Pratik/0000-0003-0984-0973</t>
  </si>
  <si>
    <t>0250-5991</t>
  </si>
  <si>
    <t>0973-7138</t>
  </si>
  <si>
    <t>J BIOSCIENCES</t>
  </si>
  <si>
    <t>J. Biosci.</t>
  </si>
  <si>
    <t>10.1007/BF02936136</t>
  </si>
  <si>
    <t>Biology</t>
  </si>
  <si>
    <t>Life Sciences &amp; Biomedicine - Other Topics</t>
  </si>
  <si>
    <t>134CM</t>
  </si>
  <si>
    <t>WOS:000076725300016</t>
  </si>
  <si>
    <t>Sergeev, VA; Kamide, Y; Kokubun, S; Nakamura, R; Deehr, CS; Hughes, TJ; Lepping, RP; Mukai, T; Petrukovich, AA; Shue, JH; Shinokawa, K; Troshichev, OA; Yumoto, K</t>
  </si>
  <si>
    <t>Short-duration convection bays and localized interplanetary magnetic field structures on November 28, 1995</t>
  </si>
  <si>
    <t>SOLAR-WIND; MAGNETOSPHERIC SUBSTORMS; CURRENT SYSTEMS; DYNAMICS; PHYSICS; PHASES</t>
  </si>
  <si>
    <t>We present ground-based, plasma sheet, and magnetosheath observations of two subsequent short-duration (10-20 min) increases of the postmidnight westward electrojet on November 28, 1995. Appearing: as though small (150-200 nT) substorms, they were not accompanied by any substorm expansion onset signatures. Auroral breakup, worldwide Pi2 pulsations, and the corresponding plasma sheet activity, such as fast flows, current disruption, and plasmoid generation, were all observed only at the recovery of the second electrojet increase. These convection bays were associated with the equatorward expansion of the auroras and simultaneous magnetic variations in the polar cap and middle latitudes. Growth phase signatures of the lobe field increase and tailward stretching of magnetic field were also observed in the plasma sheet. Bursty bulk flows in the plasma sheet seem to be quenched at the onset of first convection bay and did not resume until the auroral breakup which concluded the second convection bay, A point of interest of this event was the incomplete convection/current system with a well-developed dawn vortex in the absence of well-defined dusk vortex; instead, a complicated transient activity dominated over the afternoon-dusk local time sector. We interpret this asymmetry either in terms of the magnetopause encounter with the edge of the solar wind driver, i.e., strong southward IMF, which hits only the dawn part of the magnetosphere, or with an extremely slant interplanetary discontinuity. This unique configuration was inferred from observations of uncorrelated strong southward B-z events by the Wind and IMP 8 spacecraft in the dusk and dawn magnetosheath, respectively, as well as from the directional analysis of the interplanetary discontinuities which form the edges of these structures, We suggest that interaction of the magnetosphere with very slant solar wind discontinuities may bring various specific features to magnetospheric and ionospheric dynamics that have not been reported.</t>
  </si>
  <si>
    <t>Nagoya Univ, Solar Terr Environm Lab, Aichi 442, Japan; Univ Alaska, Inst Geophys, Fairbanks, AK 99775 USA; Natl Res Council Canada, Herzberg Inst Astrophys, Ottawa, ON K1A 0R6, Canada; NASA, Goddard Space Flight Ctr, Greenbelt, MD 20771 USA; Inst Space &amp; Astronaut Sci, Kanagawa 229, Japan; Russian Acad Sci, Space Res Inst, IKI, Moscow 117810, Russia; Arctic &amp; Antarctic Res Inst, Dept Geophys, St Petersburg 191104, Russia; Kyushu Univ, Dept Phys, Fukuoka 810, Japan</t>
  </si>
  <si>
    <t>Nagoya University; University of Alaska System; University of Alaska Fairbanks; National Research Council Canada; National Aeronautics &amp; Space Administration (NASA); NASA Goddard Space Flight Center; Japan Aerospace Exploration Agency (JAXA); Institute of Space &amp; Astronautical Science (ISAS); Russian Academy of Sciences; Space Research Institute of the Russian Academy of Sciences; Arctic &amp; Antarctic Research Institute; Kyushu University</t>
  </si>
  <si>
    <t>Sergeev, VA (corresponding author), St Petersburg State Univ, Inst Phys, St Petersburg 198904, Russia.</t>
  </si>
  <si>
    <t>Petrukovich, Anatoly A./G-8764-2011; Sergeev, Victor A/H-1173-2013; Mukai, Toshifumi/ABD-3297-2021; Nakamura, Rumi/I-7712-2013</t>
  </si>
  <si>
    <t>Sergeev, Victor A/0000-0002-4569-9631; Nakamura, Rumi/0000-0002-2620-9211</t>
  </si>
  <si>
    <t>OCT 1</t>
  </si>
  <si>
    <t>A10</t>
  </si>
  <si>
    <t>10.1029/98JA01747</t>
  </si>
  <si>
    <t>125XL</t>
  </si>
  <si>
    <t>WOS:000076262300020</t>
  </si>
  <si>
    <t>Smith, AJ; Engebretson, MJ; Klatt, EM; Inan, US; Arnoldy, RL; Fukunishi, H</t>
  </si>
  <si>
    <t>Periodic and quasiperiodic ELF/VLF emissions observed by an array of Antarctic stations</t>
  </si>
  <si>
    <t>ELF-VLF EMISSIONS; PARTICLE-PRECIPITATION; WHISTLER; MAGNETOSPHERE; GENERATION; PULSATIONS</t>
  </si>
  <si>
    <t>This paper describes amplitude modulations in the frequency range 0-500 mHz of ELF/VLF (0.5-4.0 kHz) radio wave power recorded throughout 1993 and 1995 at Halley and South Pole stations, Antarctica, which lie in approximately the same magnetic meridian and at geomagnetic latitudes (Lambda) of 61 degrees and 74 degrees, respectively. Data from the intermediate automatic geophysical observatories P2 and P3 (Lambda = 70 degrees and 72 degrees, respectively) were also analyzed where available. In agreement with earlier work, spectrograms have revealed the frequent day-time (typically 0700-1700 MLT) occurrence of modulations lying almost entirely within the two period ranges: 10-60 s and 4-6 s. The first range corresponds to quasiperiodic (QP) emissions, while the latter is typical of the two-hop whistler mode echo period in the plasmatrough, and the events are termed periodic emissions (PEs). QP occurrence rates higher than some earlier studies (335 station-days out of 667 examined) may be attributable to the sensitive spectral analysis technique. The type I QPs (i.e., those correlated with geomagnetic pulsations observed at South Pole and/or P2/P3) were consistent with an upstream wave driver, controlled by the IMF cone angle. Type II QPs (uncorrelated with magnetic pulsations) were always accompanied by PEs, suggesting a link between the two, reinforced by a frequently observed steady increase in period in both phenomena, especially during the morning, possibly associated with increasing densities due to upward flow of photoionized plasma from the ionosphere after dawn. Here we propose that type II QPs are driven by field line resonant ULF waves which in turn are generated by field-aligned currents arising from PE induced electron precipitation.</t>
  </si>
  <si>
    <t>British Antarctic Survey, Cambridge CB3 0ET, England; Augsburg Coll, Dept Phys, Minneapolis, MN 55454 USA; Stanford Univ, STAR Lab, Stanford, CA 94305 USA; Univ New Hampshire, EOS, Durham, NH 03824 USA; Tohoku Univ, Sendai, Miyagi 980, Japan</t>
  </si>
  <si>
    <t>UK Research &amp; Innovation (UKRI); Natural Environment Research Council (NERC); NERC British Antarctic Survey; Augsburg University; Stanford University; University System Of New Hampshire; University of New Hampshire; Tohoku University</t>
  </si>
  <si>
    <t>Smith, AJ (corresponding author), British Antarctic Survey, High Cross,Madingley Rd, Cambridge CB3 0ET, England.</t>
  </si>
  <si>
    <t>Inan, Umran/V-3634-2019</t>
  </si>
  <si>
    <t>Inan, Umran/0000-0001-5837-5807</t>
  </si>
  <si>
    <t>10.1029/98JA01955</t>
  </si>
  <si>
    <t>WOS:000076262300021</t>
  </si>
  <si>
    <t>Lovell, JL; Duldig, ML; Humble, JE</t>
  </si>
  <si>
    <t>An extended analysis of the September 1989 cosmic ray ground level enhancement</t>
  </si>
  <si>
    <t>MAGNETIC-FIELD; SOLAR; MODEL; EVENT</t>
  </si>
  <si>
    <t>The September 29, 1989, cosmic ray ground level enhancement had a complex intensity-time profile with two distinct peaks observed at some neutron monitors, The event was detected by surface and some underground muon telescopes indicating the presence of particles up to similar to 30 GV. We have modeled the response of neutron monitors and surface muon telescopes at the times of both intensity peaks and during the decay phase, We have determined particle rigidity spectra and pitch angle distributions centered on apparent arrival directions. Some evidence of bidirectional flow is present during the second peak, This may be due to backscattering of particles from beyond Earth. There was a high degree of scattering from all directions resulting in a significant isotropic component. Spectra derived from ground level responses are consistent with satellite observations, The spectrum between a few MeV and a few tens of GeV is consistent with shock acceleration.</t>
  </si>
  <si>
    <t>Inst Phys &amp; Chem Res, Wako, Saitama 3510198, Japan; Australian Antarctic Div, Kingston, Tas 7050, Australia; Univ Tasmania, Sch Phys, Hobart, Tas 7001, Australia</t>
  </si>
  <si>
    <t>RIKEN; Australian Antarctic Division; University of Tasmania</t>
  </si>
  <si>
    <t>Inst Phys &amp; Chem Res, 2-1 Hirosawa, Wako, Saitama 3510198, Japan.</t>
  </si>
  <si>
    <t>jlovell@riken.go.jp; marc.duldig@utas.edu.au; john.humble@utas.edu.au</t>
  </si>
  <si>
    <t>10.1029/98JA02100</t>
  </si>
  <si>
    <t>WOS:000076262300031</t>
  </si>
  <si>
    <t>Sustr, V; Block, W</t>
  </si>
  <si>
    <t>Temperature dependence and acclimatory response of amylase in the High Arctic springtail Onychiurus arcticus (Tullberg) compared with the temperate species Protaphorura armata (Tullberg)</t>
  </si>
  <si>
    <t>JOURNAL OF INSECT PHYSIOLOGY</t>
  </si>
  <si>
    <t>Collembola High Arctic Amylase activity; thermal acclimation; cold adaptation</t>
  </si>
  <si>
    <t>MITE ALASKOZETES-ANTARCTICUS; LYGUS-RUGULIPENNIS HEMIPTERA; CRICKET ACHETA-DOMESTICUS; DIGESTIVE ENZYMES; HYDROMEDION-SPARSUTUM; SALIVARY-GLANDS; COLLEMBOLA; METABOLISM; COLD; PERIMYLOPIDAE</t>
  </si>
  <si>
    <t>Amylolytic activity was measured in whole body homogenates of High Arctic (Onychiurus arcticus) and temperate (Protaphorura armata) springtails (Collembola: Onychiuridae) in the temperature range 5-55 degrees C. A pH of ca. 8 was optimum for amylolytic activity in both species. A higher weight-specific amylolytic activity was observed in P. armata. In O. arcticus, amylolytic activity depended on thermal acclimation, which increased during 2 and 9 weeks of cold acclimation (5 degrees C) and decreased over 7 weeks of warming (15 degrees C) of animals that were previously acclimated to cold for 2 weeks. In cold-acclimated O. arcticus, a slower decrease of amylolytic activity occurred with lowering of temperature in the range 5-20 degrees C in comparison with warm-acclimated specimens and P. armata, which resulted in higher activity at 5 degrees C. The activation energy calculated from an Arrhenius plot for P. armata was 68.7 kJ.mol(-1). In O. arcticus it was between 30.2 and 61.5 kJ.mol(-1), being lower in cold-acclimated samples. The temperature optimum for amylolytic activity was higher in the temperate species (40 degrees C), whilst in O. arcticus it depended on the acclimation regime: it rose to 35 degrees C after warm acclimation and decreased to 20 degrees C after cold adaptation. The total soluble protein content of body tissues of O. arcticus also increased during cold acclimation. These differences between the two species suggest that amylolytic activity is an indicator of cold adaptation in the High Arctic O. arcticus. (C) 1998 Elsevier Science Ltd. All rights reserved.</t>
  </si>
  <si>
    <t>British Antarctic Survey, NERC, Cambridge CB3 0ET, England; Acad Sci Czech Republ, Inst Soil Biol, CR-37005 Ceske Budejovice, Czech Republic</t>
  </si>
  <si>
    <t>UK Research &amp; Innovation (UKRI); Natural Environment Research Council (NERC); NERC British Antarctic Survey; Czech Academy of Sciences; Biology Centre of the Czech Academy of Sciences</t>
  </si>
  <si>
    <t>Block, W (corresponding author), British Antarctic Survey, NERC, High Cross,Madingley Rd, Cambridge CB3 0ET, England.</t>
  </si>
  <si>
    <t>wcb@bas.ac.uk</t>
  </si>
  <si>
    <t>Šustr, Vladimír/G-1495-2014</t>
  </si>
  <si>
    <t>0022-1910</t>
  </si>
  <si>
    <t>1879-1611</t>
  </si>
  <si>
    <t>J INSECT PHYSIOL</t>
  </si>
  <si>
    <t>J. Insect Physiol.</t>
  </si>
  <si>
    <t>10.1016/S0022-1910(97)00174-1</t>
  </si>
  <si>
    <t>Entomology; Physiology; Zoology</t>
  </si>
  <si>
    <t>108LX</t>
  </si>
  <si>
    <t>WOS:000075268800014</t>
  </si>
  <si>
    <t>Madronich, S; McKenzie, RL; Björn, LO; Caldwell, MM</t>
  </si>
  <si>
    <t>Changes in biologically active ultraviolet radiation reaching the Earth's surface</t>
  </si>
  <si>
    <t>ozone depletion; ultraviolet-B radiation; action spectra; cloud cover; radiation; amplification factor; aerosol; stratosphere</t>
  </si>
  <si>
    <t>STRATOSPHERIC OZONE DEPLETION; SOLAR UV IRRADIANCE; RECORD LOW OZONE; ACTION SPECTRUM; B RADIATION; NATURAL-WATERS; UNITED-STATES; HETEROGENEOUS CHEMISTRY; TROPOSPHERIC OZONE; HIGH-LATITUDES</t>
  </si>
  <si>
    <t>Stratospheric ozone levels are near their lowest point since measurements began, so current ultraviolet-B (UV-B) radiation levels are thought to be close to their maximum. Total stratospheric content of ozone-depleting substances is expected to reach a maximum before the year 2000. All other things being equal, the current ozone losses and related W-B increases should be close to their maximum. Increases in surface erythemal (sunburning) UV radiation relative to the values in the 1970s are estimated to be: about 7% at Northern Hemisphere mid-latitudes in winter/spring; about 4% at Northern Hemisphere mid-latitudes in summer/fall; about 6% at Southern Hemisphere mid-latitudes on a year-round basis; about 130% in the Antarctic in spring; and about 22% in the Arctic in spring. Reductions in atmospheric ozone are expected to result in higher amounts of W-B radiation reaching the Earth's surface. The expected correlation between increases in surface UV-B radiation and decreases in overhead ozone has been further demonstrated and quantified by ground-based instruments under a wide range of conditions. Improved measurements of W-B radiation are now providing better geographical and temporal coverage. Surface UV-B radiation levels are highly variable because of cloud cover, and also because of local effects including pollutants and surface reflections. These factors usually decrease atmospheric transmission and therefore the surface irradiances at UV-B its well as other wavelengths. Occasional cloud-induced increases have also been reported. With a few exceptions, the direct detection of W-B trends at low- and mid-latitudes remains problematic due to this high natural variability, the relatively small ozone changes, and the practical difficulties of maintaining long-term stability in networks of W-measuring instruments. Few reliable UV-B radiation measurements are available from pre-ozone-depletion days. Satellite-based observations of atmospheric ozone and clouds are being used, together with models of atmospheric transmission, to provide global coverage and long-term estimates of surface UV-B radiation. Estimates of long-term (1979-1992) trends in zonally averaged UV irradiances that include cloud effects are nearly identical to those for clear-sky estimates, providing evidence that clouds have not influenced the UV-B trends. However, the limitations of satellite-derived UV estimates should be recognized. To assess uncertainties inherent in this approach, additional validations involving comparisons with ground-based observations are required. Direct comparisons of ground-based W-B radiation measurements between a few mid-latitude sites in the Northern and Southern Hemispheres have shown larger differences than those estimated using satellite data. Groundbased measurements show that summertime erythemal UV irradiances in the Southern Hemisphere exceed those at comparable latitudes of the Northern Hemisphere by up to 40%, whereas corresponding satellite-based estimates yield only 10-15% differences. Atmospheric pollution may be a factor in this discrepancy between ground-based measurements and satellite-derived estimates. W-B measurements at more sites are required to determine whether the larger observed differences are globally representative. High levels of UV-B radiation continue to be observed in Antarctica during the recurrent spring-time ozone hole. For example, during ozone-hole episodes, measured biologically damaging radiation at Palmer Station, Antarctica (64 degrees S) has been found to approach and occasionally even exceed maximum summer values at San Diego, CA, USA (32 degrees N). Long-term predictions of future W-B levels are difficult and uncertain. Nevertheless, current best estimates suggest that a slow recovery to pre-ozone depletion levels may be expected during the next half-century. Although the maximum ozone depletion, and hence maximum UV-B increase, is likely to occur in the current decade, the ozone layer will continue to be in its most vulnerable state into the next century. The peak depletion and the recovery phase could be delayed by decades because of interactions with other long-term atmospheric changes, e.g., increasing concentrations of greenhouse gases. Other factors that could influence the recovery include non-ratification and/or non-compliance with the Montreal Protocol and its Amendments and Adjustments, and future volcanic eruptions. The recovery phase for surface W-B irradiances will probably not be detectable until many years after the ozone minimum. (C) 1998 UNEP. Published by Elsevier Science S.A. All rights reserved.</t>
  </si>
  <si>
    <t>Natl Ctr Atmospher Res, Div Atmospher Chem, Boulder, CO 80307 USA; NIWA, Lauder 9182, Central Otago, New Zealand; Lund Univ, S-22100 Lund, Sweden; Utah State Univ, Ctr Ecol, Logan, UT 84322 USA</t>
  </si>
  <si>
    <t>National Center Atmospheric Research (NCAR) - USA; National Institute of Water &amp; Atmospheric Research (NIWA) - New Zealand; Lund University; Utah System of Higher Education; Utah State University</t>
  </si>
  <si>
    <t>Natl Ctr Atmospher Res, Div Atmospher Chem, POB 3000,1850 Table Mesa Dr, Boulder, CO 80307 USA.</t>
  </si>
  <si>
    <t>sasha@ucar.edu</t>
  </si>
  <si>
    <t>Madronich, Sasha/D-3284-2015; Bais, Alkiviadis F/D-2230-2009</t>
  </si>
  <si>
    <t>Madronich, Sasha/0000-0003-0983-1313; Bais, Alkiviadis F/0000-0003-3899-2001; McKenzie, Richard Lloyd/0000-0002-4484-7057</t>
  </si>
  <si>
    <t>10.1016/S1011-1344(98)00182-1</t>
  </si>
  <si>
    <t>156JD</t>
  </si>
  <si>
    <t>WOS:000077997100003</t>
  </si>
  <si>
    <t>Häder, DP; Kumar, HD; Smith, RC; Worrest, RC</t>
  </si>
  <si>
    <t>Effects on aquatic ecosystems</t>
  </si>
  <si>
    <t>aquatic ecosystems; ultraviolet-B radiation; dissolved organic carbon; bakterioplankton; phytoplankton; zooplankton; macroalgae; seagrass</t>
  </si>
  <si>
    <t>SOLAR ULTRAVIOLET-RADIATION; UV-B RADIATION; PHOTOSYNTHETIC OXYGEN PRODUCTION; FLAGELLATE EUGLENA-GRACILIS; DIATOM CYCLOTELLA SP; AMINO-ACID COMPOUNDS; CHLOROPHYLL FLUORESCENCE; NATURAL PHYTOPLANKTON; OZONE DEPLETION; MARINE-PHYTOPLANKTON</t>
  </si>
  <si>
    <t>Regarding the effects of W-B radiation on aquatic ecosystems, recent scientific and public interest has focused on marine primary producers and on the aquatic web, which has resulted in a multitude of studies indicating mostly detrimental effects of UV-B radiation on aquatic organisms. The interest has expanded to include ecologically significant groups and major biomass producers using mesocosm studies, emphasizing species interactions. This paper assesses the effects of UV-B radiation on dissolved organic matter, decomposers, primary and secondary producers, and briefly summarizes recent studies in freshwater and marine systems. Dissolved organic carbon (DOC) and particulate organic carbon (POC) are degradation products of living organisms. These substances are of importance in the cycling of carbon in aquatic ecosystems. UV-B radiation has been found to break down high-molecular-weight substances and make them available to bacterial degradation. In addition, DOC is responsible for short-wavelength absorption in the water column. Especially in coastal areas and freshwater ecosystems, penetration of solar radiation is limited by high concentrations of dissolved and particulate matter. On the other hand, climate warming and acidification result in faster degradation of these substances and thus enhance the penetration of UV radiation into the water column. Several research groups have investigated light penetration into the water column. Past studies on UV penetration into the water column were based on temporally and spatially scattered measurements. The process of spectral attenuation of radiant energy in natural waters is well understood and straightforward to model. Less known is the spatial and temporal variability of in-water optical properties influencing UV attenuation and there are few long-term observations. In Europe, this deficiency of measurements is being corrected by a project involving the development of a monitoring system (ELDONET) for solar radiation using three-channel dosimeters (UV-A, W-B, PAR) that are being installed from Abisko (North Sweden, 68 degrees N, 19 degrees E) to Tenerife (Canary Islands, 27 degrees N, 17 degrees W). Some of the instruments have been installed in the water column (North Sea, Baltic Sea, Kattegat, East and Western Mediterranean, North Atlantic), establishing the first network of underwater dosimeters for continuous monitoring. Bacteria play a vital role in mineralization of organic matter and provide a trophic Link to higher organisms. New techniques have substantially changed our perception of the role of bacteria in aquatic ecosystems over the recent past and bacterioplankton productivity is far greater than previously thought, having high division and turnover rates. It has been shown that bacterioplankton play a central role in the carbon flux in aquatic ecosystems by taking up DOC and remineralizing the carbon. Bacterioplankton are more prone to W-B stress than larger eukaryotic organisms and, based on one study, produce about double the amount of cyclobutane dimers. Recently, the mechanism of nitrogen fixation by cyanobacteria has been shown to be affected by UV-B stress. Wetlands constitute important ecosystems both in the tropics and at temperate latitudes. In these areas, cyanobacteria form major constituents in microbial mats. The organisms optimize their position in the community by vertical migration in the mat, which is controlled by both visible and W-B radiation. Cyanobacteria are also important in tropical and sub-tropical rice paddy fields, where they contribute significantly to the availability of nitrogen. Solar UV radiation affects growth, development and several physiological responses of these organisms. On a global basis, phytoplankton are the most important biomass producers in aquatic ecosystems. The organisms populate the top layers of the oceans and freshwater habitats where they receive sufficient solar radiation for photosynthetic processes. New research strengthens previous evidence that solar UV affects growth and reproduction, photosynthetic energy-harvesting enzymes and other cellular proteins, as well as photosynthetic pigment contents. The uptake of ammonium and nitrate is affected by solar radiation in phytoplankton, as well as in macroalgae. Damage to phytoplankton at the molecular, cellular, population and community levels has been demonstrated. In contrast, at the ecosystem level there are few convincing data with respect to the effects of ozone-related W-B increases and considerable uncertainty remains. Following UV-B irradiation, shifts in phytoplankton community structure have been demonstrated, which may have consequences for the food web. Macroalgae and seagrasses are important biomass producers in aquatic ecosystems (but considerably smaller than phytoplankton). In contrast to phytoplankton, most of these organisms are sessile and can thus not avoid exposure to solar radiation at their growth site. Recent investigations showed a pronounced sensitivity to solar W-B radiation, and effects have been found throughout the top 10-15 m of the water column. Photoinhibition can be quantified by oxygen exchange or by PAM (pulse amplitude modulated) fluorescence. Surface-adapted macroalgae, such as several brown and green algae, show a maximum of oxygen production at or close to the surface; whereas algae adapted to lower irradiances usually thrive best when exposed deeper in the water column. Mechanisms of protection and repair are being investigated. UV effects on aquatic animals are of increased interest. Evidence for UV effects has been demonstrated in zooplankton activity. Other UVB-sensitive aquatic organisms include sea urchins, corals and amphibians. Solar UV radiation has been known to affect corals directly. In addition, photosynthesis in their symbiotic algae is impaired, resulting in reduced organic carbon supply. Amphibian populations are in serious decline in many areas of the world, and scientists are seeking explanations for this phenomenon. Most amphibian population declines are probably due to habitat destruction or habitat alteration. Some declines are probably the result of natural population fluctuations. Other explanations for the population declines and reductions in range include disease, pollution, atmospheric changes and introduced competitors and predators. W-B radiation is one agent that may act in conjunction with other stresses to affect amphibian populations adversely. The succession of algal communities is controlled by a complex array of external conditions, stress factors and interspecies influences. Freshwater ecosystems have a high turnover and the success of an individual species is difficult to predict, but the development of general patterns of community structure follows defined routes. There is a strong predictive relationship between DOC concentration and the depth to which UV radiation penetrates in lakes. Since DOC varies widely, freshwater systems display a wide range of sensitivity to UV penetration. In these systems, increased solar UV-B radiation is an additional stress factor that may change species composition and biomass productivity. The Arctic aquatic ecosystem is one of the most productive ecosystems on earth and is a source of fish and crustaceans for human consumption. Both endemic and migratory species breed and reproduce in this ocean in spring and early summer, at a time when recorded increases in W-B radiation are maximal. Productivity in the Arctic ocean has been reported to be higher and more heterogeneous than in the Antarctic ocean. In the Bering Sea, the sea-edge communities contribute about 40-50% of the total productivity. Because of the shallow water and the prominent stratification of the water layer, the phytoplankton are more exposed and affected by solar W-B radiation. In addition, many economically important fish (e.g., herring, pollock, cod and salmon) spawn in shallow waters where they are exposed to increased solar UV-B radiation. Many of the eggs and early larval stages are found at or near the surface. Consequently, reduced productivity of fish and other marine crops is possible but has not been demonstrated. There is increased consensus, covering a wide range of aquatic ecosystems, that environmental W-B, independent of ozone-related increases, is an important ecological stress that influences the growth, survival and distribution of phytoplankton. Polar ecosystems, where ozone-related UV-B increases are the greatest and which are globally significant ecosystems, are of particular concern. However, these ecosystems are characterized by large spatial and temporal variability, which makes it difficult to separate out UV-B-specific effects on single species or whole phytoplankton communities. There is clear evidence for short-term effects. In one study a 4-23% photoinhibition of photosystem II activity was measured under the ozone hole. However, extrapolation of short-term effects to long-term ecological consequences requires various complex effects to be accounted for and quantitative evaluation remains uncertain. (C) 1998 UNEP. Published by Elsevier Science S.A. All rights reserved.</t>
  </si>
  <si>
    <t>Univ Erlangen Nurnberg, Inst Bot &amp; Pharmazeut Biol, D-91058 Erlangen, Germany; Banaras Hindu Univ, Ctr Adv Study Bot, Varanasi 221005, Uttar Pradesh, India; Univ Calif Santa Barbara, ICESS, Santa Barbara, CA 93106 USA; Univ Calif Santa Barbara, Dept Geog, Santa Barbara, CA 93106 USA; Columbia Univ, CIESIN, Washington, DC 20006 USA</t>
  </si>
  <si>
    <t>University of Erlangen Nuremberg; Banaras Hindu University (BHU); University of California System; University of California Santa Barbara; University of California System; University of California Santa Barbara; Columbia University</t>
  </si>
  <si>
    <t>KUMAR, DINESH/JTT-7703-2023; KUMAR, DINESH/GRJ-5448-2022; Ormerod, Steve J/A-4326-2010</t>
  </si>
  <si>
    <t>KUMAR, DINESH/0000-0002-9641-6662; Ormerod, Steve J/0000-0002-8174-302X</t>
  </si>
  <si>
    <t>10.1016/S1011-1344(98)00185-7</t>
  </si>
  <si>
    <t>Green Submitted, hybrid</t>
  </si>
  <si>
    <t>WOS:000077997100006</t>
  </si>
  <si>
    <t>Robinson, DH; Arrigo, KR; Kolber, Z; Gosselin, M; Sullivan, CW</t>
  </si>
  <si>
    <t>Photophysiological evidence of nutrient limitation of platelet ice algae in McMurdo Sound, Antarctica</t>
  </si>
  <si>
    <t>Antarctic; nutrient limitation; photoacclimation; pump-probe fluorometry; sea ice algae</t>
  </si>
  <si>
    <t>PHOTOSYNTHESIS-IRRADIANCE RELATIONSHIPS; DENSE MICROALGAL BLOOM; SEA-ICE; MICROBIAL COMMUNITIES; CARBON ASSIMILATION; HIGH-RESOLUTION; SPECTRAL IRRADIANCE; ENERGY-CONVERSION; LIGHT-ABSORPTION; MARINE DIATOMS</t>
  </si>
  <si>
    <t>Seasonally changing photophysiological and biochemical characteristics of sea ice microalgae are interpreted with respect to light availability and measurements of nutrient concentration made at high vertical resolution (12.5 cm) during a dense bloom in the platelet ice layer of McMurdo Sound during a 6-week study in austral spring of 1989. Platelet ice algae remained highly shade adapted throughout the spring as shown by their low photoadaptive index (E-k, 3.7-8.4 mu mol photons.m(-2).s(-1)), low mean specific absorption coefficient (&lt;0.009 m(2) mg(-1) Chl a), high optical cross-sectional area of photosystem II (sigma(PSII) 3.0-8.2), and high molar ratio of fucoxanthin:chlorophyll a (mean 1.62 +/- 0.25 SD). Between 24 October and 8 November, the algae exhibited a photoacclimative response that was marked by a 30% decrease in photosynthetic efficiency (alpha(B)), a 75% decrease in maximum photosynthetic rate (P-m(B)), and a 60% increase in sigma(PSII). The photochemical conversion efficiency at photosystem II (F-v/F-m = ca. 0.5) and the quantum yield of photosynthesis (empty set(C) = 0.062-0.078 mol C mol(-1) photons) were ca. 80% of their maximal values. After 8 November, changes in algal photophysiology and biochemistry, which were inconsistent with a photoacclimation response, suggest that tice platelet ice alg-ae near the platelet/congelation ice interface became increasingly nutrient limited. The number of pennate diatoms increased threefold to 150 X 10(9) cells m(-3) between 8 and 14 November, then remained unchanged throughout the remainder of the field season. Following the increase in cell number, F-v/F-m, empty set(C), and C:Chla decreased by &gt;40%, sigma(PSII) increased by 70%; and the biochemical ratios C:N and C:Si increased 25%-30%. Nutrient depletion was apparent from the high-resolution vertical profiles, but nutrient concentrations limiting algal growth were not observed. However, nutrient concentrations at the likely site of nutrient limitation near the platelet/congelation ice interface were not measured, indicating that higher resolution sampling is necessary to fully characterize this highly variable habitat.</t>
  </si>
  <si>
    <t>NASA, Univ Space Res Assoc, Goddard Space Flight Ctr, Greenbelt, MD 20771 USA; Brookhaven Natl Lab, Upton, NY 11973 USA; Univ Quebec, Dept Oceanog, Rimouski, PQ G5L 3A1, Canada; Univ So Calif, Los Angeles, CA 90089 USA</t>
  </si>
  <si>
    <t>National Aeronautics &amp; Space Administration (NASA); NASA Goddard Space Flight Center; Universities Space Research Association (USRA); United States Department of Energy (DOE); Brookhaven National Laboratory; University of Quebec; University of Southern California</t>
  </si>
  <si>
    <t>NASA, Univ Space Res Assoc, Goddard Space Flight Ctr, Code 971, Greenbelt, MD 20771 USA.</t>
  </si>
  <si>
    <t>dale@neptune.gsfc.nasa.gov</t>
  </si>
  <si>
    <t>Gosselin, Michel/0000-0002-1044-0793; Arrigo, Kevin/0000-0002-7364-876X</t>
  </si>
  <si>
    <t>1529-8817</t>
  </si>
  <si>
    <t>10.1046/j.1529-8817.1998.340788.x</t>
  </si>
  <si>
    <t>133AQ</t>
  </si>
  <si>
    <t>WOS:000076664600011</t>
  </si>
  <si>
    <t>Ferron, B; Mercier, H; Speer, K; Gargett, A; Polzin, K</t>
  </si>
  <si>
    <t>Mixing in the Romanche Fracture Zone</t>
  </si>
  <si>
    <t>ANTARCTIC BOTTOM WATER; VERTICAL OVERTURNS; LENGTH SCALES; ABYSSAL OCEAN; TURBULENCE; DISSIPATION; ATLANTIC; FLOWS; FLUX</t>
  </si>
  <si>
    <t>The Romanche Fracture Zone is a major gap in the Mid-Atlantic Ridge at the equator, which is deep enough to allow significant eastward flows of Antarctic Bottom Water from the Brazil Basin to the Sierra Leone and Guinea Abyssal Plains. While flowing through the Romanche Fracture Zone, bottom-water properties are strongly modified due to intense vertical mixing. The diapycnal mixing coefficient in the bottom water of the Romanche Fracture Zone is estimated by using the finestructure of CTD profiles, the microstructure of high-resolution profiler data, and by constructing a heat budget from current meter data. The finestructure of density profiles is described using the Thorpe scales L-T. It is shown from microstructure data taken in the bottom water that the Ozmidov scale L-O is related to L-T by the linear relationship L-O = 0.95L(T), similar to other studies, which allows an estimate of the diapycnal mixing coefficient using the Osborn relation. The Thorpe scale and the diapycnal mixing coefficient estimates show enhanced mixing downstream (eastward) of the main sill of the Romanche Fracture Zone. In this region, a mean diapycnal mixing coefficient of about 1000 X 10(-4) m(2) s(-1) is found for the bottom water. Estimates of cross-isothermal mixing coefficient derived from the heat budgets constructed downstream of the current meter arrays deployed in the Romanche Fracture Zone and the nearby Chain Fracture Zone are in agreement with the finestructure estimates of the diapycnal mixing coefficient within the Romanche Fracture Zone. Although the two fracture zones occupy only 0.4% of the area covered by the Sierra Leone and Guinea Abyssal Plains, the diffusive heat fluxes across the 1.4 degrees C isotherm in the Romanche and Chain Fracture Zones are half that found over the abyssal plains across the 1.8 degrees C isotherm, emphasizing the role of these passages for bottom-water property modifications.</t>
  </si>
  <si>
    <t>IFREMER, Lab Phys Oceans, Brest, France; Fisheries &amp; Oceans Canada Inst Ocean Sci, Sidney, BC V8L 4B2, Canada; Woods Hole Oceanog Inst, Woods Hole, MA 02543 USA</t>
  </si>
  <si>
    <t>Centre National de la Recherche Scientifique (CNRS); Ifremer; Institut de Recherche pour le Developpement (IRD); Fisheries &amp; Oceans Canada; Woods Hole Oceanographic Institution</t>
  </si>
  <si>
    <t>IFREMER, Lab Phys Oceans, BP 70, F-29280 Plouzane, France.</t>
  </si>
  <si>
    <t>bferron@ifremer.fr</t>
  </si>
  <si>
    <t>FERRON, Bruno/L-5649-2015; FERRON, Bruno/JCE-4144-2023; MERCIER, Herle/L-4161-2015</t>
  </si>
  <si>
    <t>FERRON, Bruno/0000-0002-2107-0900; Gargett, Ann/0000-0002-7324-0668; MERCIER, Herle/0000-0002-1940-617X</t>
  </si>
  <si>
    <t>1520-0485</t>
  </si>
  <si>
    <t>10.1175/1520-0485(1998)028&lt;1929:MITRFZ&gt;2.0.CO;2</t>
  </si>
  <si>
    <t>132MQ</t>
  </si>
  <si>
    <t>WOS:000076634200004</t>
  </si>
  <si>
    <t>Zhang, HM; Talley, LD</t>
  </si>
  <si>
    <t>Heat and buoyancy budgets and mixing rates in the upper thermocline of the Indian and global oceans</t>
  </si>
  <si>
    <t>WATER MASS FORMATION; SANTA-MONICA BASIN; NORTH-ATLANTIC; TURBULENT DISSIPATION; FRESH-WATER; ABYSSAL OCEAN; CIRCULATION; MODEL; TRANSPORT; TRACER</t>
  </si>
  <si>
    <t>Diapycnal and diathermal diffusivity values in the upper thermocline are estimated from buoyancy and heat budgets for water volumes bounded by isopycnals and isotherms, the air-sea interface, and coastline where applicable. Comprehensive analysis is given to the Indian Ocean, with an extended global general description. The Indian Ocean,gains buoyancy in the north (especially in the northeast) and loses buoyancy in the subtropical south. Freshest and least-dense water appears in the Bay of Bengal and isopycnals outcrop southwestward from there and then southward. Computation of diapycnal diffusivity (K-p) starts from the Bay of Bengal, expanding southwestward and southward and with depth. As isopycnals extend equatorward from the northeast and with increasing depth, K-p remains at about 1.3 cm(2) s(-1) for 20.2 sigma(theta) (Bay of Bengal) to 22.0 sigma(theta) (northeast Indian Ocean). Farther south (poleward) and at greater depth, K-p decreases from 0.9 cm(2) s(-1) for 23.0 sigma(theta) (north of 20 degrees S) to 0.5 cm(2) s(-1) for 25.0 sigma(theta) (north of 35 degrees S). Isotherms outcrop poleward from the equator. Diathermal diffusivity values computed from the heat budget are large at the equator and near the surface (4.0 cm(2) s(-1) for 28.5 degrees C isotherm) but decrease rapidly poleward and with depth (1.3 cm(2) s(-1) for 27.0 degrees C). This indicates stronger mixing either near the equator or the surface, or a possible component in the diathermal direction of the larger isopycnal diffusivity, as isotherms do not follow isopycnals in the upper Indian Ocean north of 10 degrees S. For the 21.0 degrees C isotherm? which closely follows isopycnal 25.0 sigma(theta), the heat budget yields a K-theta again of 0.5 cm(2) s(-1), the value of the diapycnal diffusivity. For the Indian-Pacific system, K-rho decreases from 1.3 cm(2) s(-1) for 22.0 sigma(theta) (the warm pool water, depth similar to 60 m) to 0.9 cm(2) s(-1) for 23.0 sigma(theta) (the tropical water between 20 degrees N and 20 degrees S, depth similar to 100 m), and to 0.1 cm(2) s(-1) for 25.0 sigma(theta) (40 degrees N-40 degrees S, depth similar to 170 m). In the eastern tropical Pacific, K-rho = 1.1 cm(2) s(-1) for 21.5 sigma(theta) (depth similar to 25 m) while K-rho = 0.6 cm(2) s(-1) for 22.0 sigma(theta) (depth similar to 35 m). In the Atlantic, K-rho = 0.6 cm(2) s(-1) for 24.0 sigma(theta) between 20 degrees N and 15 degrees S (depth similar to 80 m), and 0.2 cm(2) s(-1) for 25.0 sigma(theta) between 30 degrees N and 35 degrees S (depth similar to 120 m). For the water volume bounded by 25.5 sigma(theta) farther south and north (50 degrees N-40 degrees S), air-sea buoyancy gain in the Tropics is about the size of the buoyancy loss in the subtropics, and the near-zero net flux may not have significance compared to the errors in the data. For 27.5 sigma(theta), which encompasses the large region from about 65 degrees N to the Antarctic (with midocean average depth of 400 m), K-rho is 0.2 cm(2) s(-1). The results indicate that mixing strength generally decreases poleward and with depth in the upper ocean.</t>
  </si>
  <si>
    <t>Zhang, HM (corresponding author), Univ Rhode Isl, Grad Sch Oceanog, Dept Phys Oceanog, 215 S Ferry Rd, Narragansett, RI 02882 USA.</t>
  </si>
  <si>
    <t>zhang@nippawas.gso.uri.edu</t>
  </si>
  <si>
    <t>Talley, Lynne/0000-0003-1574-729X</t>
  </si>
  <si>
    <t>10.1175/1520-0485(1998)028&lt;1961:HABBAM&gt;2.0.CO;2</t>
  </si>
  <si>
    <t>WOS:000076634200006</t>
  </si>
  <si>
    <t>Stossel, A; Kim, SJ; Drijfhout, SS</t>
  </si>
  <si>
    <t>The impact of Southern Ocean sea ice in a global ocean model</t>
  </si>
  <si>
    <t>GENERAL-CIRCULATION MODELS; ANTARCTIC CIRCUMPOLAR CURRENT; INCREASING CARBON-DIOXIDE; LAYER PYCNOCLINE MODEL; DEEP-WATER FORMATION; WINTER MIXED LAYER; ATMOSPHERE MODEL; WEDDELL SEA; BOTTOM WATER; TRANSIENT-RESPONSE</t>
  </si>
  <si>
    <t>Most of the Southern Ocean (SO)is marginally stably stratified and thus prone to enhanced convection and possibly bottom-water formation whenever the upper ocean is cooled or made more saline by ice formation. Sea ice modifies the heat and freshwater: fluxes, which in turn constitute a critical surface condition in this sensitive region of intense vertical exchange. The authors investigate the effect of SO sea ice in modifying these fluxes in a global, coarse-resolution, primitive-equation ocean general circulation model, which has been coupled to a comprehensive dynamic-thermodynamic sea ice model. Specifically, the long-term impact of a series of modifications in the formulation of the sea ice model and its forcing on quantities such as the overturning circulation, the deep ocean water-mass characteristics, the sea ice thickness, the strength of convection, as well as the strength of the major volume transports are investigated. The results indicate that the rate of Antarctic bottom-water formation is strongly coupled to the local sea ice processes in the SO,which in turn vary sensitively depending on their model formulation and their forcing from the atmosphere. The largest impacts arise from the effect of brine release due to sea ice formation and that of employing more variable winds over SO sea ice.</t>
  </si>
  <si>
    <t>Texas A&amp;M Univ, Dept Oceanog, TCCS, College Stn, TX 77843 USA; Royal Netherlands Meteorol Inst, NL-3730 AE De Bilt, Netherlands</t>
  </si>
  <si>
    <t>Texas A&amp;M University System; Texas A&amp;M University College Station; Royal Netherlands Meteorological Institute</t>
  </si>
  <si>
    <t>Texas A&amp;M Univ, Dept Oceanog, TCCS, College Stn, TX 77843 USA.</t>
  </si>
  <si>
    <t>achim@advect.tamu.edu</t>
  </si>
  <si>
    <t>Drijfhout, Sybren/I-4230-2016</t>
  </si>
  <si>
    <t>Drijfhout, Sybren/0000-0001-5325-7350</t>
  </si>
  <si>
    <t>10.1175/1520-0485(1998)028&lt;1999:TIOSOS&gt;2.0.CO;2</t>
  </si>
  <si>
    <t>WOS:000076634200008</t>
  </si>
  <si>
    <t>Witter, DL; Chelton, DB</t>
  </si>
  <si>
    <t>Eddy-mean flow interaction in zonal oceanic jet flow along zonal ridge topography</t>
  </si>
  <si>
    <t>ANTARCTIC CIRCUMPOLAR CURRENT; QUASI-GEOSTROPHIC MODEL; BETA-PLANE CHANNEL; LOCAL BAROCLINIC INSTABILITY; SOUTHERN-OCEAN; GENERAL-CIRCULATION; WIND-DRIVEN; SURFACE CIRCULATION; TRACER TRANSPORTS; MESOSCALE EDDIES</t>
  </si>
  <si>
    <t>Motivated by satellite altimeter observations of enhanced sea level variability near steep topographic slopes in the Southern Ocean, effects of topography on the spatial distribution of mesoscale eddies and on eddy-mean flow interaction are investigated using a two-layer, wind-forced, quasigeostrophic channel model. The principal topography, a zonal ridge with a zonal modulation of ridge height and width, is an idealized version of a segment of the Southeast Indian Ridge along the path of the Antarctic Circumpolar Current. Geosat altimeter observations in this region suggest that spatial variations of eddy energy are related to alongstream modulations of ridge morphology. The time-mean flow and distribution of time-dependent eddies in the model are sensitive to relatively subtle alongstream variations of topography. Topographic steering leads to alongstream variations of time-mean baroclinic and barotropic shear and to alongstream variations in the meridional position of the jet relative to the crest of the zonal ridge. Linear stability analysis demonstrates that zonal variations of flow stability are strongly coupled to the topography. Unstable mode growth rates are largest where topographic steering forces the jet into regions of reduced ambient potential vorticity gradient. Growth rates are lower where topography steers the jet into regions of higher ambient potential vorticity gradient. As a result, the largest eddy energies occur downstream of zonal modulations of ridge height or width. Unlike flows over hat-bottom topography, the zonal distribution of unstable mode growth rate is negatively correlated with velocity shear. Analysis of area-averaged mean-to-eddy energy conversions shows that zonal modulations of topography modify the regime of flow instability. Baroclinic instability and recycling of eddy energy in the upper part of the water column occur in cases with zonally uniform topography. Mixed baroclinic-barotropic instability and strong downward transfers of eddy energy occur in cases with zonal modulations of topography. Local vorticity analyses demonstrate that alongstream variations of topography produce strong zonal modulations of flow dynamics. Zonal variations of topography shift the region of eddy-influenced dynamics within the model domain and modify the relative contributions of the mean and eddy field to the time-mean vorticity balance. When interpreted in the context of Southern Ocean dynamics, these results suggest that eddy-active regions near steep topographic slopes may contribute disproportionately to the dynamics of the Antarctic Circumpolar Current.</t>
  </si>
  <si>
    <t>Oregon State Univ, Coll Ocean &amp; Atmospher Sci, Corvallis, OR 97331 USA</t>
  </si>
  <si>
    <t>Oregon State University</t>
  </si>
  <si>
    <t>Columbia Univ, Lamont Doherty Earth Observ, Rt 9W, Palisades, NY 10964 USA.</t>
  </si>
  <si>
    <t>dwitter@ldeo.columbia.edu</t>
  </si>
  <si>
    <t>10.1175/1520-0485(1998)028&lt;2019:EMFIIZ&gt;2.0.CO;2</t>
  </si>
  <si>
    <t>WOS:000076634200009</t>
  </si>
  <si>
    <t>Traykovski, LVM; O'Driscoll, RL; McGehee, DE</t>
  </si>
  <si>
    <t>Effect of orientation on broadband acoustic scattering of Antarctic krill Euphausia superba:: Implications for inverting zooplankton spectral acoustic signatures for angle of orientation</t>
  </si>
  <si>
    <t>JOURNAL OF THE ACOUSTICAL SOCIETY OF AMERICA</t>
  </si>
  <si>
    <t>SOUND-SCATTERING; TARGET STRENGTH; FLUID CYLINDERS; FINITE LENGTH; BACKSCATTERING; ABUNDANCE; MICRONEKTON; DEPENDENCE; 120-KHZ; VOLUME</t>
  </si>
  <si>
    <t>Acoustic scattering experiments involving simultaneous acquisition of broadband echoes and video footage from several Antarctic krill were carried out to determine the effect of animal orientation on echo spectral structure. A novel video analysis technique, applied to extract krill angle of orientation corresponding to each insonification, revealed that echo spectra from krill near broadside incidence relative to the incident acoustic wave exhibited widely spaced, deep nulls, whereas off-broadside echo spectra had a more erratic structure, with several closely spaced nulls of variable depth. The pattern of changes in echo spectra with orientation for the experimentally measured acoustic returns was very similar to theoretically predicted patterns based on a distorted wave Born approximation (DWBA) model. Information contained in the broadband echo spectra of the krill was exploited to invert the acoustic returns for angle of orientation by applying a newly developed Covariance Mean Variance Classification (CMVC) approach, using generic and animal-specific theoretical and empirical model spaces. The animal-specific empirical model space was best able to invert for angle of orientation. The CMVC inversion technique can be implemented using a generic empirical model space to determine angle of orientation based on broadband echoes from individual zooplankton in the field. (C) 1998 Acoustical Society of America. [S0001-4966(98)05109-1]</t>
  </si>
  <si>
    <t>Woods Hole Oceanog Inst, MIT Woods Hole Oceanog Inst Joint Program Oceanog, Woods Hole, MA 02543 USA; Univ Otago, Dept Marine Sci, Dunedin, New Zealand; Woods Hole Oceanog Inst, Dept Appl Ocean Phys &amp; Engn, Woods Hole, MA 02543 USA</t>
  </si>
  <si>
    <t>Massachusetts Institute of Technology (MIT); Woods Hole Oceanographic Institution; University of Otago; Woods Hole Oceanographic Institution</t>
  </si>
  <si>
    <t>Traykovski, LVM (corresponding author), Woods Hole Oceanog Inst, MIT Woods Hole Oceanog Inst Joint Program Oceanog, MS 32, Woods Hole, MA 02543 USA.</t>
  </si>
  <si>
    <t>0001-4966</t>
  </si>
  <si>
    <t>J ACOUST SOC AM</t>
  </si>
  <si>
    <t>J. Acoust. Soc. Am.</t>
  </si>
  <si>
    <t>Acoustics; Audiology &amp; Speech-Language Pathology</t>
  </si>
  <si>
    <t>127WW</t>
  </si>
  <si>
    <t>WOS:000076374400024</t>
  </si>
  <si>
    <t>Moerland, TS; Egginton, S</t>
  </si>
  <si>
    <t>Intracellular pH of muscle and temperature:: Insight from in vivo 31P NMR measurements in a stenothermal Antarctic teleost (Harpagifer antarcticus)</t>
  </si>
  <si>
    <t>JOURNAL OF THERMAL BIOLOGY</t>
  </si>
  <si>
    <t>intracellular pH; temperature; NMR; skeletal muscle</t>
  </si>
  <si>
    <t>ACID-BASE REGULATION; SKELETAL-MUSCLE; BODY-TEMPERATURE; SPECTROSCOPY; FIBERS</t>
  </si>
  <si>
    <t>1. Intracellular pH (pH(i)) of white (fast, glycolytic) muscle in the Antarctic teleost Harpagifer antarcticus at 1 degrees C was 7.36 +/- 0.07 (mean +/- s.e., n = 6), as measured by P-31 NMR. 2. H. antarcticus pH(i) and a compilation of published data indicate that the overall relationship between pH(i) and temperature in glycolytic muscle is biphasic, with pH(i) relatively independent of temperature in the range 0-17 degrees C and inversely proportional to temperature above 17 degrees C. 3. The data do not support the suggestion that pH(i)approximate to pN across temperatures, nor is the data consistent with alphastat regulation of pH(i). (C) 1998 Elsevier Science Ltd. All rights reserved.</t>
  </si>
  <si>
    <t>Florida State Univ, Dept Biol Sci, Tallahassee, FL 32306 USA; Univ Birmingham, Sch Med, Dept Physiol, Birmingham B15 2TT, W Midlands, England</t>
  </si>
  <si>
    <t>State University System of Florida; Florida State University; University of Birmingham</t>
  </si>
  <si>
    <t>Moerland, TS (corresponding author), Florida State Univ, Dept Biol Sci, B-157, Tallahassee, FL 32306 USA.</t>
  </si>
  <si>
    <t>0306-4565</t>
  </si>
  <si>
    <t>J THERM BIOL</t>
  </si>
  <si>
    <t>J. Therm. Biol.</t>
  </si>
  <si>
    <t>10.1016/S0306-4565(98)00016-3</t>
  </si>
  <si>
    <t>Biology; Zoology</t>
  </si>
  <si>
    <t>Life Sciences &amp; Biomedicine - Other Topics; Zoology</t>
  </si>
  <si>
    <t>135KN</t>
  </si>
  <si>
    <t>WOS:000076801000003</t>
  </si>
  <si>
    <t>McCafferty, DJ; Moncrieff, JB; Taylor, IR; Boddie, GF</t>
  </si>
  <si>
    <t>The use of IR thermography to measure the radiative temperature and heat loss of a barn owl (Tyto alba)</t>
  </si>
  <si>
    <t>IR thermography; heat loss; metabolic rate; barn owl; Tyto alba</t>
  </si>
  <si>
    <t>LONG-EARED OWL; INFRARED THERMOGRAPHY; SURFACE-TEMPERATURE; ENERGY-EXPENDITURE; FOXES; LIMIT</t>
  </si>
  <si>
    <t>Infrared (IR) thermography was used to identify the major sites of heat loss from a female barn owl at an air temperature of 17.6 degrees C. When perched, the mean radiative temperature of the owl was 21.1 degrees C (SD = 3.5). The facial disc averaged 23.9 degrees 6 (SD = 9.1) and the temperature of the eyes was greater than 33 degrees C. Images showed an area on the lower abdomen that was warmer than 27 degrees C. During flight, the temperature of plumage overlying wing muscles was more than 30 degrees C. The metabolic heat production of the barn owl was estimated to be 42 W m-(2) (1.68 W) at 17.6 degrees C which agreed with previous measurements of metabolism. Heat loss from the head was almost double that from the body as a whole, indicating the importance of reducing exposure of the head during roosting. The metabolic rate during flight was calculated to be 13 x BMR (Pennycuick, 1989). This suggested that barn owls lose considerable amounts of heat during prolonged periods of flight. It is hypothesised that by being active in cool nocturnal conditions, barn owls may exploit waste metabolic heat for thermoregulation. (C) 1998 Elsevier Science Ltd. All rights reserved.</t>
  </si>
  <si>
    <t>Univ Edinburgh, Inst Ecol &amp; Resource Management, Edinburgh EH9 3JU, Midlothian, Scotland; Charles Sturt Univ, Fac Sci &amp; Agr, Johnstone Res Ctr, Albury, NSW 2640, Australia; Napier Univ, Dept Mech Mfg &amp; Software Engn, Edinburgh EH10 5DT, Midlothian, Scotland</t>
  </si>
  <si>
    <t>University of Edinburgh; Charles Sturt University; Edinburgh Napier University</t>
  </si>
  <si>
    <t>McCafferty, DJ (corresponding author), British Antarctic Survey, Nat Environm Res Council, High Cross,Madingley Rd, Cambridge CB3 0ET, England.</t>
  </si>
  <si>
    <t>McCafferty, Dominic/0000-0002-3079-3326</t>
  </si>
  <si>
    <t>10.1016/S0306-4565(98)00022-9</t>
  </si>
  <si>
    <t>WOS:000076801000007</t>
  </si>
  <si>
    <t>Harris, PT; O'Brien, PE</t>
  </si>
  <si>
    <t>Bottom currents, sedimentation and ice-sheet retreat facies successions on the Mac Robertson shelf, East Antarctica</t>
  </si>
  <si>
    <t>Antarctica; continental shelf; glacial processes; currents; sedimentary processes</t>
  </si>
  <si>
    <t>SUSPENDED PARTICULATE MATTER; CONTINENTAL-SHELF; PRYDZ BAY; ROSS-SEA; OCEANOGRAPHY; CALIBRATION; TRANSPORT; EROSION; REGION; LEVEL</t>
  </si>
  <si>
    <t>Measurements of water turbidity, currents, seafloor sediment samples and geophysical data document the sedimentary processes and the Late Quaternary sedimentary history of a continental shelf valley system on the East Antarctic continental margin. The valley is up to 1200 m in depth and strikes across the shelf; it is interpreted as having formed by glacial erosion processes; On the outer-shelf sill of the valley, northwestward (offshore) currents with speeds of up to 0.47 m/s referenced to 100 cm above the seabed were recorded over a 10-month period. Such currents are competent to initiate bedload transport of medium sand and formation of small (ripple-sized) bedforms which explains the occurrence of ripple cross-bedding observed in some X-radiographs of cores. A nepheloid layer with concentrations of up to 3.5 mg/l was noted at two stations and the available evidence suggests that density flows resulting from the sea-ice brine-rejection mechanism are competent to entrain shelf bottom sediments episodlically. Sediment cores taken from this environment document the succession of facies resulting from retreat of glacial ice from the shelf during the Holocene transgression. Under low sea-level, glacial conditions, the ice sheet is interpreted to have been grounded on the outer shelf, where it deposited a grounding line moraine. Rising sea level and global warming caused the ice shelf to retreat leaving a sub-ice shelf, glacial-marine mud. This is overlain by a laminated to massively bedded ice-rafted debris-rich facies, interpreted as being deposited at the glacial calving front. Above this is a siliceous mud and ooze facies having a basal age of about 10,000 years BP, characterising modern, open-marine conditions. Two types of iceberg keel marks on the outer part of the shelf valley are recognised from sidescan sonographs: one relict, arcuate type formed during the retreat of the ice shelf prior to 10,000 years BP and a second modern, elongate type that is presently being formed near the shelf break by iceberg grounding processes. This facies succession has been described from other Antarctic shelf environments and is probably representative of facies deposited during Holocene glacial retreat from the Antarctic shelf. (C) 1998 Elsevier Science B.V. All rights reserved.</t>
  </si>
  <si>
    <t>Australian Geol Survey Org, Antarctic CRC, Hobart, Tas 7001, Australia; Australian Geol Survey Org, Antarctic CRC, Canberra, ACT 2601, Australia</t>
  </si>
  <si>
    <t>Geoscience Australia; Geoscience Australia</t>
  </si>
  <si>
    <t>Harris, PT (corresponding author), Australian Geol Survey Org, Antarctic CRC, GPO Box 252-80, Hobart, Tas 7001, Australia.</t>
  </si>
  <si>
    <t>Harris, Peter/AAI-7100-2020; Harris, Peter T/C-6997-2009</t>
  </si>
  <si>
    <t>O'Brien, Philip/0000-0003-3446-3292</t>
  </si>
  <si>
    <t>10.1016/S0025-3227(98)00047-4</t>
  </si>
  <si>
    <t>138ZK</t>
  </si>
  <si>
    <t>WOS:000077002800003</t>
  </si>
  <si>
    <t>Rebesco, M; Camerlenghi, A; De Santis, L; Domack, E; Kirby, M</t>
  </si>
  <si>
    <t>Seismic stratigraphy of Palmer Deep: a fault-bounded late Quaternary sediment trap on the inner continental shelf, Antarctic Peninsula Pacific margin</t>
  </si>
  <si>
    <t>Antarctic Peninsula; high-resolution seismic stratigraphy; Holocene; glaciomarine sediments; subglacial lakes</t>
  </si>
  <si>
    <t>The Palmer Deep is an enclosed bathymetric depression on the inner portion of the Antarctic Peninsula continental shelf about 30 km southwest of Anvers Island. Three sub-basins, separated by bathymetric sills, comprise the Palmer Deep: Basin I, Basin II, and Basin III. Deep-tow boomer seismic reflection data reveal thick (&gt;50 m) sediment sections in each basin consisting of Holocene diatomaceous mud. The boomer records proved fine-scale resolution of decimetre thick sediment layers within the uppermost (Holocene) seismic unit. Deeper penetration GI and small airgun records obtained in 1997 provide insight into the structural and depositional history of the basins which extends clearly back in time before the Holocene (unit imaged by the boomer records). The Palmer Deep contains a sediment infill estimated at about 270 m thick arranged in a complex (five unit) internal stratigraphy unusual for the inner continental shelf of Antarctica. Combined use of the boomer and airgun sources allows complementary resolution of both deep and shallow stratigraphy with some reflectors common in both records, such as the Middle Basin Reflector at 45 ms twt below seafloor. The Middle Basin Reflector most likely is of latest Pleistocene age (isotopic Stage 2) and therefore 80% of the basin fill pre-dates the classic Last Glacial Maximum. The Palmer Deep is bounded by active extensional faults as evidenced by offset and stratigraphic growth within Holocene sections. To accommodate shelf-wide glaciation on the Pacific margin of the Antarctic Peninsula we suggest a subglacial and subaqueous origin for much of the Palmer Deep basin fill. Hence, the Palmer Deep basins were the locus of subglacial 'lakes' beneath the ice sheet at times of glacial maximum. (C) 1998 Elsevier Science B.V. All rights reserved.</t>
  </si>
  <si>
    <t>Osservatorio Geofis Sperimentale, Dept Geophys Lithosphere, Trieste, Italy; Hamilton Coll, Dept Geol, Clinton, NY 13323 USA; Syracuse Univ, Dept Geol, Syracuse, NY 13244 USA</t>
  </si>
  <si>
    <t>Istituto Nazionale di Oceanografia e di Geofisica Sperimentale; Hamilton College; Syracuse University</t>
  </si>
  <si>
    <t>Rebesco, M (corresponding author), Osservatorio Geofis Sperimentale, Dept Geophys Lithosphere, Trieste, Italy.</t>
  </si>
  <si>
    <t>mrebesco@ogs.trieste.it</t>
  </si>
  <si>
    <t>Rebesco, Michele/B-7462-2014; Camerlenghi, Angelo/AAG-3852-2019; Camerlenghi, Angelo/O-1593-2013; Camerlenghi, Angelo/C-8816-2011</t>
  </si>
  <si>
    <t>Rebesco, Michele/0000-0002-9492-4081; Camerlenghi, Angelo/0000-0002-8128-9533; Camerlenghi, Angelo/0000-0002-8128-9533; De Santis, Laura/0000-0002-7752-7754</t>
  </si>
  <si>
    <t>10.1016/S0025-3227(98)00057-7</t>
  </si>
  <si>
    <t>WOS:000077002800005</t>
  </si>
  <si>
    <t>Baker, CS; Florez-Gonzalez, L; Abernethy, B; Rosenbaum, HC; Slade, RX; Capella, J; Bannister, JL</t>
  </si>
  <si>
    <t>Mitochondrial DNA variation and maternal gene flow among humpback whales of the southern hemisphere</t>
  </si>
  <si>
    <t>MARINE MAMMAL SCIENCE</t>
  </si>
  <si>
    <t>humpback whales; mitochondrial DNA; stocks; Southern Hemisphere; genetic variation; Megaptera novaeangliae</t>
  </si>
  <si>
    <t>MEXICAN PACIFIC-OCEAN; MEGAPTERA-NOVAEANGLIAE; POPULATION-STRUCTURE; HAPLOTYPES; WORLDWIDE; MIGRATION; POLYMERASE; DISTANCES; NUCLEAR; MTDNA</t>
  </si>
  <si>
    <t>Samples of skin tissue were collected by biopsy darting from humpback whales (Megaptera novaeangliae) in six seasonal habitats representing three stocks and four regions: Groups IV (western Australia), V western component (eastern Australia), V eastern component (New Zealand and Tonga) and VI (the Antarctic Peninsula and Gorgona Island, Colombia, South America) of the Southern Hemisphere. A variable section of the mitochondrial DNA control region was amplified and sequenced from 84 of these individuals, distinguishing a total of 48 unique sequences (i.e., mtDNA nucleotypes). Phylogenetic reconstructions suggested that these nucleotypes form three clades, corresponding to those previously described in a world-wide survey of humpback whale mtDNA variation, although bootstrap support for two of the clades was relatively low (&lt;50%). An analysis of variance adapted for molecular information showed significant differentiation of nucleotypes among the three Groups (Stocks) and heterogeneity of haplotype diversity among the four regions. A pattern of interchange within and between oceanic basins was demonstrated by the presence of shared identical nucleotypes among humpback whales in regions of the Southern and Northern Hemispheres.</t>
  </si>
  <si>
    <t>Univ Auckland, Sch Biol Sci, Auckland, New Zealand; Fdn Yubarta, Cali, Colombia; Amer Museum Nat Hist, Mol Systemat Lab, New York, NY 10024 USA; Royal Brisbane Hosp, Queensland Inst Med Res, Brisbane, Qld 4029, Australia; Western Australian Museum, Perth, WA 6000, Australia</t>
  </si>
  <si>
    <t>University of Auckland; American Museum of Natural History (AMNH); Royal Brisbane &amp; Women's Hospital; QIMR Berghofer Medical Research Institute; Western Australian Museum</t>
  </si>
  <si>
    <t>Baker, CS (corresponding author), Univ Auckland, Sch Biol Sci, Private Bag 92019, Auckland, New Zealand.</t>
  </si>
  <si>
    <t>cs.baker@auckland.ac.nz</t>
  </si>
  <si>
    <t>SOC MARINE MAMMALOGY</t>
  </si>
  <si>
    <t>1041 NEW HAMPSHIRE ST, LAWRENCE, KS 66044 USA</t>
  </si>
  <si>
    <t>0824-0469</t>
  </si>
  <si>
    <t>MAR MAMMAL SCI</t>
  </si>
  <si>
    <t>Mar. Mamm. Sci.</t>
  </si>
  <si>
    <t>10.1111/j.1748-7692.1998.tb00758.x</t>
  </si>
  <si>
    <t>128FL</t>
  </si>
  <si>
    <t>WOS:000076395000004</t>
  </si>
  <si>
    <t>Bowen, WD; Boness, DJ; Iverson, SJ</t>
  </si>
  <si>
    <t>Estimation of total body water in harbor seals: How useful is bioelectrical impedance analysis?</t>
  </si>
  <si>
    <t>bioelectrical impedance; total body water; deuterium; harbor seal; Phoca vitulina</t>
  </si>
  <si>
    <t>ANTARCTIC FUR SEALS; NORTHERN ELEPHANT SEAL; FAT-FREE MASS; ARCTOCEPHALUS-GAZELLA; MIROUNGA-ANGUSTIROSTRIS; NUTRIENT DEPOSITION; HALICHOERUS-GRYPUS; ISOTOPE-DILUTION; ENERGY-TRANSFER; PHOCA-VITULINA</t>
  </si>
  <si>
    <t>We evaluated bioelectrical impedance analysis (BIA) as a means of rapidly and inexpensively estimating total body water (TBW) of harbor seals (Phoca vitulina). Deuterium oxide dilution was used to estimate TBW in 17 adult females and 16 of their pups between birth and late lactation. Isotope dilution was also used to determine TBW in 12 adult males early and 10 of these males late in the breeding season. At the same time, resistance (Rs) and reactance (Xc) measurements were taken using a tetrapolar, impedance plethysmograph (Model 101A, RJL Systems). Seals were sedated with diazepam prior to taking BIA measurements. Within-day duplicate Rs measurements on pups and adults, taken 2-240 min apart, differed by an average of 3.0% +/- 1.4% (n = 42, CV = 102%). Movement of the seal during BIA measurements caused variability in both Rs and Xc values. BIA measurements were generally poor predictors of TBW. Rs was significantly correlated with TBW in pups only (Rs = 0.93, P = 0.001, n = 11). Bioelectrical conductor volume (length2/Rs) was significantly correlated with TBW only in adult females (Rs = 0.63, P = 0.02, n = 14). We conclude that BIA is not a reliable method of estimating TBW in wild harbor seals.</t>
  </si>
  <si>
    <t>Fisheries &amp; Oceans Canada, Bedford Inst Oceanog, Marine Fish Div, Dartmouth, NS B2Y 4A2, Canada; Smithsonian Inst, Natl Zool Pk, Dept Zool Res, Washington, DC 20008 USA; Dalhousie Univ, Dept Biol, Halifax, NS B3H 3J5, Canada</t>
  </si>
  <si>
    <t>Fisheries &amp; Oceans Canada; Bedford Institute of Oceanography; Smithsonian Institution; Smithsonian National Zoological Park &amp; Conservation Biology Institute; Dalhousie University</t>
  </si>
  <si>
    <t>Bowen, WD (corresponding author), Fisheries &amp; Oceans Canada, Bedford Inst Oceanog, Marine Fish Div, POB 1006, Dartmouth, NS B2Y 4A2, Canada.</t>
  </si>
  <si>
    <t>Bowen, William/AAE-7204-2022; Bowen, William D/D-2758-2012</t>
  </si>
  <si>
    <t>Bowen, William/0000-0001-8334-5677; Iverson, Sara/0000-0003-2842-4094</t>
  </si>
  <si>
    <t>10.1111/j.1748-7692.1998.tb00761.x</t>
  </si>
  <si>
    <t>WOS:000076395000007</t>
  </si>
  <si>
    <t>Cobley, ND; Bell, G</t>
  </si>
  <si>
    <t>Weddell seal (Leptonychotes weddellii) feeding on gentoo penguins (Pygoscelis papua)</t>
  </si>
  <si>
    <t>Cobley, ND (corresponding author), British Antarctic Survey, NERC, High Cross,Madingley Rd, Cambridge CB3 0ET, England.</t>
  </si>
  <si>
    <t>10.1111/j.1748-7692.1998.tb00773.x</t>
  </si>
  <si>
    <t>WOS:000076395000019</t>
  </si>
  <si>
    <t>Wagner, T; Platt, U</t>
  </si>
  <si>
    <t>Satellite mapping of enhanced BrO concentrations in the troposphere</t>
  </si>
  <si>
    <t>NATURE</t>
  </si>
  <si>
    <t>BOUNDARY-LAYER; POLAR SUNRISE; OZONE DESTRUCTION; BROMINE; MECHANISM; RELEASE</t>
  </si>
  <si>
    <t>Reactive bromine species contribute significantly to the destruction of ozone in the polar stratosphere(1). Reactive halogen compounds can have a strong effect not only on the chemistry of the stratosphere but also on that of the underlying troposphere. For example, severe ozone depletion events that are less persistent than those in the stratosphere occur in the Arctic(2) and Antarctic(3) boundary layer during springtime and are also associated with enhanced BrO abundances(2,4-10). Observations(5-8) of BrO (and ClO, which is less important) at ground level during these ozone depletion events have revealed halogen oxide mixing ratios of up to 30 parts per trillion-sufficient to destroy within one to two days the 30-40 parts per billion of ozone typically present in the boundary layer. The catalytic mechanism leading to so-called 'tropospheric ozone holes' is well established(2,11), but the origin of the increased BrO concentrations and the spatial and temporal extent of these events remains poorly understood. Here we present satellite observations showing that tropospheric air masses enriched in BrO are always situated close to sea ice and typically extend over areas of about 300-2,000 km. The BrO abundances remain enhanced for periods of 1 to 3 days. These observations support the suggestion(7,9,10) that autocatalytic release of bromine from sea salt gives rise to significant BrO formation which, in turn, initiates ozone depletion in the polar troposphere.</t>
  </si>
  <si>
    <t>Univ Heidelberg, Inst Umweltphys, D-69120 Heidelberg, Germany</t>
  </si>
  <si>
    <t>Wagner, T (corresponding author), Univ Heidelberg, Inst Umweltphys, INF 366, D-69120 Heidelberg, Germany.</t>
  </si>
  <si>
    <t>MACMILLAN MAGAZINES LTD</t>
  </si>
  <si>
    <t>PORTERS SOUTH, 4 CRINAN ST, LONDON, ENGLAND N1 9XW</t>
  </si>
  <si>
    <t>0028-0836</t>
  </si>
  <si>
    <t>Nature</t>
  </si>
  <si>
    <t>10.1038/26723</t>
  </si>
  <si>
    <t>124ZG</t>
  </si>
  <si>
    <t>WOS:000076212200051</t>
  </si>
  <si>
    <t>Rousseaux, MC; Ballare, CL; Scopel, AL; Searles, PS; Caldwell, MM</t>
  </si>
  <si>
    <t>Solar ultraviolet-B radiation affects plant-insect interactions in a natural ecosystem of Tierra del Fuego (southern Argentina)</t>
  </si>
  <si>
    <t>OECOLOGIA</t>
  </si>
  <si>
    <t>Gunnera magellanica; ultraviolet; ozone depletion; herbivory; defense</t>
  </si>
  <si>
    <t>UV-B; TERRESTRIAL PLANTS; 280-320 NM; GROWTH; RESISTANCE; HERBIVORY; LEPIDOPTERA; CARBOXYLASE; ZOOPLANKTON; POPULATION</t>
  </si>
  <si>
    <t>We examined the effects of solar ultraviolet-B radiation (UVB) on plant-herbivore interactions in native ecosystems of the Tierra del Fuego National Park (southern Argentina), an area of the globe that is frequently under the Antarctic ozone hole in early spring. We found that filtering out solar UVB from the sunlight received by naturally-occurring plants of Gunner a magellanica, a creeping perennial herb, significantly increased the number of leaf lesions caused by chewing insects. Field surveys suggested that early-season herbivory was principally due to the activity of moth larvae (Lepidoptera: Noctuidae). Manipulative field experiments showed that exposure to solar UVB changes the attractiveness of G. magellanica leaf tissue to natural grazers. In a laboratory experiment, locally caught moth caterpillars tended to eat more tissue from leaves grown without UVB than from leaves exposed to natural UVB during development; however, the difference between treatments was not significant. Leaves grown under solar UVB had slightly higher N levels than leaves not exposed to UVB; no differences between UVB treatments in specific leaf mass, relative water content, and total methanol-soluble phenolics were detected. Our results show that insect herbivory in a natural ecosystem is influenced by solar UVB, and that this influence could not be predicted from crude measurements of leaf physical and chemical characteristics and a common laboratory bioassay.</t>
  </si>
  <si>
    <t>Univ Buenos Aires, Fac Agron, Dept Ecol, IFEVA, RA-1417 Buenos Aires, DF, Argentina; Utah State Univ, Dept Rangeland Resources, Logan, UT 84322 USA; Utah State Univ, Ctr Ecol, Logan, UT 84322 USA</t>
  </si>
  <si>
    <t>University of Buenos Aires; Utah System of Higher Education; Utah State University; Utah System of Higher Education; Utah State University</t>
  </si>
  <si>
    <t>Ballare, CL (corresponding author), Univ Buenos Aires, Fac Agron, Dept Ecol, IFEVA, Av San Martin 4453, RA-1417 Buenos Aires, DF, Argentina.</t>
  </si>
  <si>
    <t>; Ballare, Carlos/F-5141-2011</t>
  </si>
  <si>
    <t>Searles, Peter/0000-0002-2867-5881; Ballare, Carlos/0000-0001-9129-4531; Rousseaux, Maria Cecilia/0000-0001-8761-8839</t>
  </si>
  <si>
    <t>0029-8549</t>
  </si>
  <si>
    <t>Oecologia</t>
  </si>
  <si>
    <t>10.1007/s004420050618</t>
  </si>
  <si>
    <t>129GJ</t>
  </si>
  <si>
    <t>WOS:000076455200011</t>
  </si>
  <si>
    <t>Maurette, M</t>
  </si>
  <si>
    <t>Carbonaceous micrometeorites and the origin of life</t>
  </si>
  <si>
    <t>ORIGINS OF LIFE AND EVOLUTION OF BIOSPHERES</t>
  </si>
  <si>
    <t>1996 ISSOL Meeting</t>
  </si>
  <si>
    <t>JUL 08-13, 1996</t>
  </si>
  <si>
    <t>ORLEANS, FRANCE</t>
  </si>
  <si>
    <t>INTERPLANETARY DUST PARTICLES; COSMIC DUST; AMINO-ACIDS; CHEMICAL EVOLUTION; AQUEOUS ALTERATION; ORGANIC-MOLECULES; BLUE ICE; GREENLAND; CHONDRITES; MATTER</t>
  </si>
  <si>
    <t>Giant micrometeorites (sizes ranging from approximate to 50 to 500 mu m), such as those that were first recovered from clean pre-industrial Antarctic ices in December 1987, represent by far the dominant source of extraterrestrial carbonaceous material accreted by the Earth's surface, about 50 000 times the amount delivered by meteorites (sizes greater than or equal to a few cm). They correspond to large interplanetary dust particles that survived unexpectedly well their hypervelocity impact with the Earth's atmosphere, contrary to predictions of theoretical models of such impacts. They are related to relatively rare groups of carbonaceous chondrites (approximate to 2% of the meteorite falls) and not to the most abundant meteorites (ordinary chondrites and differentiated micrometeorites). About 80% of them appear to be highly unequilibrated fine-grained assemblages of mineral grains, where an abundant carbonaceous component is closely associated on a scale of less than or equal to 0.1 mu m to both hydrous and anhydrous minerals, including potential catalysts. These observations suggest that micrometeorites could have functioned as individual microscopic chemical reactors to contribute to the synthesis of prebiotic molecules on the early Earth, about 4 billions years ago. The recent identification of some of their complex organics (amino acids and polycyclic aromatic hydrocarbons), and the observation that they behave as very efficient 'cosmochromatographs', further support this 'early carbonaceous micrometeorite' scenario. Future prospects include identifying the host phases (probably ferrihydrite) of their complex organics, evaluating their catalytic activity, and assessing whether synergetic interactions between micrometeorites and favorable zones of the early Earth (such as submarine hydrothermal vents) accelerated and/or modified such synthesis.</t>
  </si>
  <si>
    <t>Ctr Spectrometrie Nucl &amp; Spectrometrie Masse, F-91405 Orsay, France</t>
  </si>
  <si>
    <t>Universite Paris Saclay</t>
  </si>
  <si>
    <t>Maurette, M (corresponding author), Ctr Spectrometrie Nucl &amp; Spectrometrie Masse, Batiment 104, F-91405 Orsay, France.</t>
  </si>
  <si>
    <t>0169-6149</t>
  </si>
  <si>
    <t>ORIGINS LIFE EVOL B</t>
  </si>
  <si>
    <t>Orig. Life Evol. Biosph.</t>
  </si>
  <si>
    <t>4-6</t>
  </si>
  <si>
    <t>10.1023/A:1006589819844</t>
  </si>
  <si>
    <t>115HL</t>
  </si>
  <si>
    <t>WOS:000075658100004</t>
  </si>
  <si>
    <t>Brinton, KLF; Engrand, C; Glavin, DP; Bada, JL; Maurette, M</t>
  </si>
  <si>
    <t>A search for extraterrestrial amino acids in carbonaceous Antarctic micrometeorites</t>
  </si>
  <si>
    <t>MURCHISON METEORITE; COSMIC DUST; COLLECTION; CHONDRITES; DELIVERY; SAMPLES; HCN; ICE</t>
  </si>
  <si>
    <t>Antarctic micrometeorites (AMMs) in the 100-400 mu m size range are the dominant mass fraction of extraterrestrial material accreted by the Earth today. A high performance Liquid chromatography (HPLC) based technique exploited at the limits of sensitivity has been used to search for the extraterrestrial amino acids alpha-aminoisobutyric acid (AIB) and isovaline in AMMs. Five samples, each containing about 30 to 35 grains, were analyzed. All the samples possess a terrestrial amino acid component, indicated by the excess of the L-enantiomers of common protein amino acids. In only one sample (A91) was AIB found to be present at a level significantly above the background blanks. The concentration of AIB (similar to 280 ppm), and the AIB/isovaline ratio (greater than or equal to 10), in this sample are both much higher than in CM chondrites. The apparently large variation in the AIB concentrations of the samples suggests that AIB may be concentrated in rare subset of micrometeorites. Because the AIB/isovaline ratio in sample A91 is much larger than in CM chondrites, the synthesis of amino acids in the micrometeorite parent bodies might have involved a different process requiring an HCN-rich environment, such as that found in comets. If the present day characteristics of the meteorite acid micrometeorite fluxes can be extrapolated back in time, then the flux of large carbonaceous micrometeorites could have contributed to the inventory of prebiotic molecules on the early Earth.</t>
  </si>
  <si>
    <t>Univ Calif San Diego, Scripps Inst Oceanog, La Jolla, CA 92093 USA; Ctr Spectrometrie Nucl &amp; Spectrometrie Masse, F-91405 Orsay, France; Nat Hist Museum, Mineral Abt, Vienna, Austria</t>
  </si>
  <si>
    <t>University of California System; University of California San Diego; Scripps Institution of Oceanography; Universite Paris Saclay</t>
  </si>
  <si>
    <t>Brinton, KLF (corresponding author), Univ Calif San Diego, Scripps Inst Oceanog, La Jolla, CA 92093 USA.</t>
  </si>
  <si>
    <t>Glavin, Daniel P/D-6194-2012</t>
  </si>
  <si>
    <t>Glavin, Daniel P/0000-0001-7779-7765</t>
  </si>
  <si>
    <t>10.1023/A:1006548905523</t>
  </si>
  <si>
    <t>WOS:000075658100005</t>
  </si>
  <si>
    <t>Clemett, SJ; Chillier, XDF; Gillette, S; Zare, RN; Maurette, M; Engrand, C; Kurat, G</t>
  </si>
  <si>
    <t>Observation of indigenous polycyclic aromatic hydrocarbons in 'giant' carbonaceous Antarctic micrometeorites</t>
  </si>
  <si>
    <t>LASER MASS-SPECTROMETRY; ORGANIC-ANALYSIS; COSMIC DUST; COLLECTION; METEORITES; MOLECULES</t>
  </si>
  <si>
    <t>Two-step laser desorption/laser ionization mass spectrometry (mu L(2)MS) was used to establish the nature and mass distribution of polycyclic aromatic hydrocarbons (PAHs) in fragments of fifteen 'giant' (similar to 200 mu m) carbonaceous Antarctic micrometeorites (AMMs). Detectable concentrations of PAHs were observed in all AMMs showing a fine-grained matrix. The range of integrated PAH signal intensities varied between samples by over two orders of magnitude. No evidence of contamination whilst in the Antarctic environment could be found. The dramatic variation of both PAH signal intensities and mass distributions between AMMs along with comprehensive contamination checks demonstrates that particles are not exposed to terrestrial PAHs at or above detection limits, either subsequent, during or prior to collection. Comparison of the observed PAH distributions with those measured in three carbonaceous chondrites [Orgueil (CI1), Murchison (CM2) and Allende (CV3)] under identical conditions demonstrated that marked differences exist in the trace organic composition of these two sources of extraterrestrial matter. In general, AMMs show a far richer distribution of unalkylated 'parent' PAHs with more extended alkylation series (replacement of -H with -(CH(2))(n)-H; n = 1, 2, 3 ...). The degree of alkylation loosely correlates with a metamorphic index that represents the extent of frictional heating incurred during atmospheric entry. A search for possible effects of the chemical composition of the fine-grain matrix of host particles on the observed PAH distributions reveals that high degrees of alkylation are associated with high Na/Si ratios. These results, in addition to other observations by Maurette, indicate that 'giant' micrometeorites survive hypervelocity (greater than or equal to 11 km s(-1)) atmospheric entry unexpectedly well. Because such micrometeorites are believed to represent the dominant mass fraction of extraterrestrial material accreted by the Earth, they may have played a significant role in the prebiotic chemical evolution of the early Earth through the delivery of complex organic matter to the surface of the planet.</t>
  </si>
  <si>
    <t>Stanford Univ, Dept Chem, Stanford, CA 94305 USA; Ctr Spectrometrie Nucl &amp; Spectrometrie Masse, F-91405 Orsay, France; Nat Hist Museum, Minerol Abt, Vienna, Austria</t>
  </si>
  <si>
    <t>Stanford University; Universite Paris Saclay</t>
  </si>
  <si>
    <t>Clemett, SJ (corresponding author), Stanford Univ, Dept Chem, Stanford, CA 94305 USA.</t>
  </si>
  <si>
    <t>Zare, Richard N./A-8410-2009</t>
  </si>
  <si>
    <t>Zare, Richard/0000-0001-5266-4253</t>
  </si>
  <si>
    <t>10.1023/A:1006572307223</t>
  </si>
  <si>
    <t>WOS:000075658100006</t>
  </si>
  <si>
    <t>Boyd, IL; Stanfield, MP</t>
  </si>
  <si>
    <t>Circumstantial evidence for the presence of monk seals in the West Indies</t>
  </si>
  <si>
    <t>ORYX</t>
  </si>
  <si>
    <t>EXTINCT</t>
  </si>
  <si>
    <t>Based on interviews with 93 fishermen in northern Haiti and Jamaica during 1997 an assessment was made of the likelihood that monk seals survive in this region of the West Indies. Fishermen were asked to select marine species brown to them from randomly arranged pictures: 22.6 per cent (n = 21) selected monk seals. This number was significantly (P &lt; 0.001) greater than the number who selected control species (walrus, harbour seal, and sea-lion) that they were unlikely to have observed. However, it was not significantly different (n = 19, P &gt; 0.1) from the number who selected manatees, which are known to occur in the region ill small numbers. More than 95 per cent or respondents also identified species that ave known to occur commonly in the region. Further questioning of the 21 respondents who selected monk seals suggested that 16 (78 per cent) of them had seen at least one in the past 1-2 years. Those fishermen that were able to provide further descriptions gave information about size and colour that was consistent with many of these seals being monk seals. It is possible that the Caribbean monk seal is not extinct.</t>
  </si>
  <si>
    <t>Seamark Trust, Oxford OX2 7NA, England</t>
  </si>
  <si>
    <t>Boyd, IL (corresponding author), British Antarctic Survey, NERC, Madingley Rd, Cambridge CB3 0ET, England.</t>
  </si>
  <si>
    <t>0030-6053</t>
  </si>
  <si>
    <t>1365-3008</t>
  </si>
  <si>
    <t>Oryx</t>
  </si>
  <si>
    <t>10.1046/j.1365-3008.1998.d01-61.x</t>
  </si>
  <si>
    <t>133BC</t>
  </si>
  <si>
    <t>WOS:000076665700012</t>
  </si>
  <si>
    <t>Clemens, SC</t>
  </si>
  <si>
    <t>Dust response to seasonal atmospheric forcing: Proxy evaluation and calibration</t>
  </si>
  <si>
    <t>ANTARCTIC ICE CORE; DEEP ARABIAN SEA; NORTH PACIFIC; SEDIMENT TRAPS; INDIAN-OCEAN; LITHOGENIC PARTICLES; PALEOCLIMATIC RECORD; SIZE DISTRIBUTION; SUMMER MONSOON; CIRCULATION</t>
  </si>
  <si>
    <t>Eolian grain size and flux were measured on samples from 11 Arabian Sea sediment traps deployed 200-1250 km offshore. The timing of increased grain size is coincident with the onset of strong summer monsoon winds and dust storm activity over the Arabian Peninsula and Middle East. Data spanning a full annual cycle show that eolian grain size is highly correlated with barometric pressure (r = -0.91) and wind speed (r = 0.84), enabling calibration of the downcore record in terms of these primary meteorological variables. Eolian flux is highly correlated with organic carbon flux (r = 0.80); both increase 6-8 weeks after the grain size increase and summer monsoon onset. This lag, and the low correlation between eolian grain size and eolian flux (r = 0.36), likely result from the differential sinking rates of large and small dust particles in the surface waters as well as biological scavenging associated with monsoon-induced productivity.</t>
  </si>
  <si>
    <t>Brown Univ, Providence, RI 02912 USA</t>
  </si>
  <si>
    <t>Brown University</t>
  </si>
  <si>
    <t>Clemens, SC (corresponding author), Brown Univ, Box 1846,324 Brook St, Providence, RI 02912 USA.</t>
  </si>
  <si>
    <t>Steven_Clemens@brown.edu</t>
  </si>
  <si>
    <t>10.1029/98PA02131</t>
  </si>
  <si>
    <t>128JH</t>
  </si>
  <si>
    <t>WOS:000076402300005</t>
  </si>
  <si>
    <t>Skerratt, JH; Davidson, AD; Nichols, PD; McMeekin, TA</t>
  </si>
  <si>
    <t>Effect of UV-B on lipid content of three Antarctic marine phytoplankton</t>
  </si>
  <si>
    <t>Phaeocystis antarctica; Odontella weissflogii; Chaetoceros simplex; algae; diatoms; UV-B; ultraviolet radiation; Antarctic; lipids; fatty acids</t>
  </si>
  <si>
    <t>FATTY-ACID COMPOSITION; ULTRAVIOLET-RADIATION; PHAEOCYSTIS-POUCHETII; SOUTHERN-OCEAN; DIATOMS; OZONE; IRRADIATION; SURVIVAL; IMPACT; ICE</t>
  </si>
  <si>
    <t>The effects of UV-B radiation on the fatty acid, total lipid and sterol composition and content of three Antarctic marine phytoplankton were examined in a preliminary culture experiment. Exponential growth phase cultures of the diatoms, Odontella Ir weissflogii and Chaetoceros simplex, and the Haptophyte, Phacocystis antarctica, were grown at 2 (+l)degrees and exposed to 16.3 (+/-0.7) Wm(-2) photosynthetically active radiation (PAR). UV-irradiated treatments were exposed to constant UV-A (4.39 (+/- 0.20) Wm(-2)) and low (0.37 Wm(-2)) or high UV-B (1.59 Wm(-2)). UV-B treatments induced species-specific changes in lipid content and composition. The sterol, fatty acid and total lipid content and profiles for O. weissfloggi changed little under low UV-B when compared with control conditions (PAR alone), but showed a decrease in the lipid content per cell under high UV-B treatment. In contrast, when P. antarctica was exposed to low UV-B irradiance, storage lipids were reduced and structural lipids increased, indicating that low UV-B enhanced cell growth and metabolism. Phaeocystis antarctica also contained a higher proportion of polyunsaturated fatty acids under low UV-B in comparison with PAR-irradiated control cultures. The flagellate life stage of P. antarctica dies under high UVB irradiation. However, exposure of P. antarctica to high UV-B irradiance increased total lipid, triacylglycerol and free fatty acid concentrations, indicating that increases in lipid content were associated with the colonial life stage. Lipid concentrations per cell also increased when C. simplex was exposed to high UV-B irradiance. This resulted from increases in free fatty acid concentration, principally saturated fatty acids, and may indicate degradation of complex lipid during high UV-B treatment. Under low UV-B, there was no statistically significant difference when compared with the control. In comparison with the PAR-exposed controls, low UV-B benefited or did not affect cellular metabolism and growth of the three microalgae examined. Our results indicate that the effect of UV-B irradiances on the lipid content of Antarctic marine phytoplankton is species-specific. Changes in ambient UV-B may alter the nutritional quality of food available to higher trophic levels. (C) 1998 Elsevier Science Ltd. All rights reserved</t>
  </si>
  <si>
    <t>Univ Tasmania, Inst Antarctic &amp; So Ocean Studies, Antarctic Cooperat Res Ctr, Hobart, Tas 7001, Australia; Antarctic Div, Kingston, Tas 7050, Australia; CSIRO, Div Marine Res, Hobart, Tas 1538, Australia; Univ Tasmania, Dept Agr Sci, Hobart, Tas 7001, Australia</t>
  </si>
  <si>
    <t>University of Tasmania; Australian Antarctic Division; Commonwealth Scientific &amp; Industrial Research Organisation (CSIRO); University of Tasmania</t>
  </si>
  <si>
    <t>Skerratt, JH (corresponding author), Univ Tasmania, Inst Antarctic &amp; So Ocean Studies, Antarctic Cooperat Res Ctr, GPO Box 252-80, Hobart, Tas 7001, Australia.</t>
  </si>
  <si>
    <t>Nichols, Peter D/C-5128-2011; skerratt, jennifer/N-4313-2019; Skerratt, Jennifer/F-2010-2015</t>
  </si>
  <si>
    <t>skerratt, jennifer/0000-0001-9023-4692; Skerratt, Jennifer/0000-0001-9023-4692</t>
  </si>
  <si>
    <t>10.1016/S0031-9422(97)01068-6</t>
  </si>
  <si>
    <t>128KG</t>
  </si>
  <si>
    <t>WOS:000076404400009</t>
  </si>
  <si>
    <t>Clarke, J; Manly, B; Kerry, K; Gardner, H; Franchi, E; Corsolini, S; Focardi, S</t>
  </si>
  <si>
    <t>Sex differences in Adelie penguin foraging strategies</t>
  </si>
  <si>
    <t>SOUTH ORKNEY ISLANDS; KING-GEORGE-ISLAND; PYGOSCELIS-ADELIAE; CHINSTRAP PENGUINS; EUPHAUSIA-SUPERBA; SIGNY ISLAND; PRYDZ BAY; ANTARCTICA; SEABIRDS; PERIOD</t>
  </si>
  <si>
    <t>Consistent sex differences in foraging trip duration, feeding locality and diet of breeding Adelie penguins (Pygoscelis adeliae) were demonstrated at two widely separated locations over several breeding seasons. Differences in foraging behaviour were most pronounced during the guard stage of chick rearing. Female penguins made on average longer foraging trips than males, ranged greater distances more frequently and consumed larger quantities of krill. In contrast, males made shorter journeys to closer foraging grounds during the guard period and fed more-extensively on fish throughout chick rearing. Mean guard stage foraging trip durations over four seasons at Bechervaise Island, Eastern Antarctica and over two seasons at Edmonson Point, Ross Sea ranged between 31 and 73 h for females and 25 and 36 h for males. Ninety-percent of males tracked from Bechervaise Island by satellite during the first 3 weeks post-hatch foraged within 20 km of the colony, while the majority(60%) of females travelled to the edge of the continental shelf (80-120 km from the colony)to feed during this period.</t>
  </si>
  <si>
    <t>Australian Antarctic Div, Kingston, Tas 7050, Australia; Univ Otago, Dept Math &amp; Stat, Dunedin, New Zealand; Univ Siena, Dipartimento Biol Ambientale, I-53100 Siena, Italy</t>
  </si>
  <si>
    <t>Australian Antarctic Division; University of Otago; University of Siena</t>
  </si>
  <si>
    <t>Clarke, J (corresponding author), Australian Antarctic Div, Channel Highway, Kingston, Tas 7050, Australia.</t>
  </si>
  <si>
    <t>Corsolini, Simonetta/B-9460-2012</t>
  </si>
  <si>
    <t>Corsolini, Simonetta/0000-0002-9772-2362</t>
  </si>
  <si>
    <t>10.1007/s003000050301</t>
  </si>
  <si>
    <t>123NR</t>
  </si>
  <si>
    <t>WOS:000076131700002</t>
  </si>
  <si>
    <t>Mengesha, S; Dehairs, F; Fiala, M; Elskens, M; Goeyens, L</t>
  </si>
  <si>
    <t>Seasonal variation of phytoplankton community structure and nitrogen uptake regime in the Indian Sector of the Southern Ocean</t>
  </si>
  <si>
    <t>ANTARCTIC WATERS; WEDDELL SEA; MARINE-PHYTOPLANKTON; N-15 UPTAKE; INORGANIC NITROGEN; CONFLUENCE AREA; NITRATE UPTAKE; AMMONIUM; PRODUCTIVITY; NUTRIENT</t>
  </si>
  <si>
    <t>This study investigates the dynamics of phytoplankton communities and nitrogen uptake in the Indian sector of the Southern Ocean during spring and summer. The study area is oligotrophic (Chl a stocks &lt; 50 mg m(-2)); nevertheless, a large spatial variation of phytoplankton biomass and community structure was observed. During both seasons the phytoplankton community in the seasonal ice zone showed higher biomasses and was mainly composed of large diatom cells. However, in the permanently open ocean zone the community had low biomass and was chiefly composed of nano- and picoflagellates. In the polar front zone, although biomass was higher, the community structure was similar to the open ocean zone. The results suggest that the variation in phytoplankton community structure on a larger scale resonates with gradients in water column stability and nutrient distribution. However, significant changes in biomass and nutrient stocks but little change in community structure were observed. Absolute nitrogen uptake rates were generally low, but their seasonal variations were highly significant. During spring the communities displayed high specific nitrate uptake (mean rate = 0.0048 h(-1)), and diatoms (in the seasonal ice zone) as well as nano- and picoflagellates (in the permanently open ocean zone and polar front zone) were mainly based on new production (mean f-ratio = 0.69). The transition to summer was accompanied by a significant reduction in nitrate uptake rate (0.0048 h(-1) --&gt; 0.0011 h(-1)) and a shift from predominantly new to regenerated production (f-ratio 0.69 --&gt; 0.39). Ammonium played a major role in the seasonal dynamics of phytoplankton nutrition. The results emphasize that, despite a large contrast in community structure, the seasonal dynamics of the nitrogen uptake regime and phytoplankton community structure in all three subsystems were similar. Additionally, this study supports our previous conclusion that the seasonal shift in nitrogen uptake regime can occur with, as well as without, marked changes in community structure.</t>
  </si>
  <si>
    <t>Free Univ Brussels, Analyt Chem Lab, B-1050 Brussels, Belgium; Univ Paris 06, Lab Arago, CNRS UMR 7621, F-66650 Banyuls sur Mer, France</t>
  </si>
  <si>
    <t>Universite Libre de Bruxelles; Centre National de la Recherche Scientifique (CNRS); CNRS - National Institute for Earth Sciences &amp; Astronomy (INSU); Sorbonne Universite</t>
  </si>
  <si>
    <t>10.1007/s003000050302</t>
  </si>
  <si>
    <t>WOS:000076131700003</t>
  </si>
  <si>
    <t>Green, K; Slip, DJ; Moore, GJ</t>
  </si>
  <si>
    <t>The take of fish species by seabirds and marine mammals in the Australian Fisheries Zone around Heard Island: the potential for competition with a commercial fishery</t>
  </si>
  <si>
    <t>SOUTHERN ELEPHANT SEALS; ANTARCTIC FUR SEALS; ARCTOCEPHALUS-GAZELLA PETERS; MIROUNGA-LEONINA; DIET; PENGUINS; CONSUMPTION; NIVALIS; WINTER</t>
  </si>
  <si>
    <t>The number of predators from Heard Island foraging in shelf waters, their prey requirements, and the proportion of their diet that was commercial and noncommercial fish were estimated. The calculated annual consumption of commercial fish species varied between 36,360 and 84,166 tonnes. The non-commercial Krefftichthys anderssoni was the preferred prey for most predators, and when its occurrence in diets was low it was replaced by crustaceans and commercial fish species. The estimated annual consumption of Champsocephalus gunnari was approximately 2 and 6 times the highest and lowest estimates respectively of the biomass of this species, obtained from three fisheries research cruises. For Dissostichus eleginoides, the maximum estimate was 28% of the highest estimate of biomass. The current fishery for D. eleginoides will most likely impact on southern elephant seals, whose population decreased by 50% between the 1950s and the 1980s, possibly as a result of overfishing around Iles Kerguelen.</t>
  </si>
  <si>
    <t>Green, K (corresponding author), NPWS, Snowy Mt Reg, POB 2228, Jindabyne, NSW 2627, Australia.</t>
  </si>
  <si>
    <t>Slip, David/0000-0002-9010-7236</t>
  </si>
  <si>
    <t>10.1007/s003000050303</t>
  </si>
  <si>
    <t>WOS:000076131700004</t>
  </si>
  <si>
    <t>Dozsa-Farkas, K; Convey, P</t>
  </si>
  <si>
    <t>Christensenia, anew terrestrial enchytraeid genus from Antarctica (vol 17, pg 482, 1997)</t>
  </si>
  <si>
    <t>British Antarctic Survey, NERC, Cambridge CB3 0ET, England; Eotvos Lorand Univ, Dept Syst Zool &amp; Ecol, H-1088 Budapest, Hungary</t>
  </si>
  <si>
    <t>UK Research &amp; Innovation (UKRI); Natural Environment Research Council (NERC); NERC British Antarctic Survey; Eotvos Lorand University</t>
  </si>
  <si>
    <t>Dozsa-Farkas, K (corresponding author), British Antarctic Survey, NERC, Madingley Rd, Cambridge CB3 0ET, England.</t>
  </si>
  <si>
    <t>Convey, Peter/AAV-5728-2020</t>
  </si>
  <si>
    <t>Convey, Peter/0000-0001-8497-9903</t>
  </si>
  <si>
    <t>WOS:000076131700006</t>
  </si>
  <si>
    <t>Teitelbaum, H; Moustaoui, M; Van Velthoven, PFJ; Kelder, H</t>
  </si>
  <si>
    <t>Decrease of total ozone at low latitudes in the southern hemisphere by a combination of linear and nonlinear processes</t>
  </si>
  <si>
    <t>ozone depletion; planetary waves; polar vortex</t>
  </si>
  <si>
    <t>STRATOSPHERIC POLAR VORTEX; BREAKING PLANETARY-WAVES; ANTARCTIC OZONE; HOLE; SPRINGTIME; DEPLETION; TRANSPORT</t>
  </si>
  <si>
    <t>Detailed analysis of the behaviour of the edge of the Antarctic polar vortex shows that it has to be considered as a region of finite latitudinal extent rather than as an infinitely narrow boundary. A new definition of the external boundary of the vortex edge allows the study of events where the edge becomes strongly dilated towards lower, even subtropical, latitudes. Such events have been observed by Argentinian subtropical ultra-violet measurement stations and can also be found in the Total Ozone Mapping Spectrometer total-ozone observations. The dilation of the vortex edge is due to a linear deformation of isentropic surfaces, but eventually leads to irreversible nonlinear mixing at low latitudes in the surf zone, where the horizontal gradients in Ertel potential vorticity are small. The dilation of the vortex edge in the studied events is demonstrated to be due to the action of planetary waves. Planetary waves not only affect the low-latitude ozone by causing vortex-edge dilation events, but may also by themselves lower the ozone column locally, as they adiabatically decrease the isentropic density in the ozone layer in some regions (and increase it in other regions).</t>
  </si>
  <si>
    <t>Ecole Normale Super, CNRS, Meteorol Dynam Lab, F-75231 Paris, France; Royal Netherlands Meteorol Inst, De Bilt, Netherlands</t>
  </si>
  <si>
    <t>Sorbonne Universite; Centre National de la Recherche Scientifique (CNRS); Universite PSL; Ecole Normale Superieure (ENS); Royal Netherlands Meteorological Institute</t>
  </si>
  <si>
    <t>Teitelbaum, H (corresponding author), Ecole Normale Super, CNRS, Meteorol Dynam Lab, 24 Rue Lhomond, F-75231 Paris, France.</t>
  </si>
  <si>
    <t>ROYAL METEOROLOGICAL SOC</t>
  </si>
  <si>
    <t>104 OXFORD ROAD, READING, BERKS, ENGLAND RG1 7LJ</t>
  </si>
  <si>
    <t>B</t>
  </si>
  <si>
    <t>10.1256/smsqj.55204</t>
  </si>
  <si>
    <t>157HW</t>
  </si>
  <si>
    <t>WOS:000078052700004</t>
  </si>
  <si>
    <t>Nof, D; Borisov, S</t>
  </si>
  <si>
    <t>Inter-hemispheric oceanic exchange</t>
  </si>
  <si>
    <t>abyssal circulation; frictional processes; potential-vorticity alteration</t>
  </si>
  <si>
    <t>ANTARCTIC BOTTOM WATER; EQUATORIAL ATLANTIC-OCEAN; FLUX-CORRECTED TRANSPORT; WESTERN BOUNDARY CURRENT; NORTH-ATLANTIC; DEEP; CIRCULATION; PACIFIC; DRIVEN; MODEL</t>
  </si>
  <si>
    <t>The exchange of water between hemispheres is examined theoretically by looking at the behaviour of continuous (double frontal) abyssal currents situated on the bottom of a (parabolic) meridional channel. We used a reduced-gravity (fluid) model with an active lower layer on the bottom of the channel, and a passive infinitely deep upper layer on the top. The topography is the agent responsible for forcing the current across the equator. We first examined analytically the nonlinear, steady, frictionless case and, as a second step, we considered a nonlinear numerical simulation (of the Bleck and Boudra type). We then compared the results of these two (fluid) models to each other and to the solid-balls model of Borisov and Nof which examined the migration of particles in the same cross-equatorial channel. All three models show that, in general, the current (or a 'cloud' of solid particles) advances gradually toward the equator without much change to its structure. Upon reaching the vicinity of the equator, the current width (or the distance between neighbouring balls) decreases dramatically. The current (or cloud) then turns eastward, flows rapidly downslope, and rises on the eastern side. The now (or cloud) ultimately splits into two parts, one progressing northward and the other recirculating and advancing southward. Remarkably good agreement is found between the detailed solid-particles analysis and the new numerical fluid simulations, indicating that the inter-hemispheric exchange is primarily an inertial process that depends mainly on the channel geometry. It is shown that the partition of mass flux between the two hemispheres depends on the way that the solid particles, or the current-jet, impinge on the eastern flank of the channel. In contrast to the very good agreement between the solid balls and the fluid simulations, poor agreement was found between the detailed analytical prediction for the cross-equatorial transport and the numerical solution (even when the viscosity was as small as we could use for numerical stability). However, the analytical solution does give the correct prediction for the position of the resulting currents and their general behaviour. It is argued that the disagreement between the analytically calculated fluid mass transports (which, in contrast to the balls, is subject to a potential-vorticity constraint) and the numerical computations is due to the alteration of potential vorticity. Specifically, the friction alters the potential vorticity of the flow and prevents it from acting as a constraint to the crossing. Though crucial to the crossing, the role of friction is, therefore, passive. It merely allows the fluid to alter its potential vorticity in such a manner that the flow can adapt to the crossing pattern imposed by the geometry. It is suggested that the observed recirculation of Antarctic Bottom Water in the vicinity of the equatorial Atlantic may be a result of our splitting process.</t>
  </si>
  <si>
    <t>Florida State Univ, Dept Oceanog 4320, Tallahassee, FL 32306 USA</t>
  </si>
  <si>
    <t>State University System of Florida; Florida State University</t>
  </si>
  <si>
    <t>Nof, D (corresponding author), Florida State Univ, Dept Oceanog 4320, Tallahassee, FL 32306 USA.</t>
  </si>
  <si>
    <t>10.1002/qj.49712455215</t>
  </si>
  <si>
    <t>WOS:000078052700014</t>
  </si>
  <si>
    <t>Fukazawa, H; Mae, S; Ikeda, S; Watanabe, O</t>
  </si>
  <si>
    <t>Proton ordering in Antarctic ice observed by Raman and neutron scattering</t>
  </si>
  <si>
    <t>CHEMICAL PHYSICS LETTERS</t>
  </si>
  <si>
    <t>LATTICE-VIBRATIONS; XI; IH</t>
  </si>
  <si>
    <t>Analysis of the Raman spectra of Antarctic ice showed that a second-order phase transition from the proton-disordered phase to a proton-ordered phase takes place at T-i = 237 K (T-i; ice temperature in the ice sheet) in the Antarctic ice sheet. We discovered that the incoherent inelastic neutron scattering spectra of both ice XI (with the proton-ordered arrangement) and Dome-Fuji (DF) Antarctic ice (T-i = 213 K) have a sharp peak at 79 meV in the librational region, but the peak of ice Ih is much lower. This neutron measurement confirmed that the proton-ordered arrangement exists in DF ice. (C) 1998 Elsevier Science B.V. All rights reserved.</t>
  </si>
  <si>
    <t>Hokkaido Univ, Fac Engn, Dept Appl Phys, Sapporo, Hokkaido 060, Japan; KEK, High Energy Accelerator Res Org, Inst Mat Struct Sci, Tsukuba, Ibaraki 305, Japan; Natl Inst Polar Res, Itabashi Ku, Tokyo 173, Japan</t>
  </si>
  <si>
    <t>Hokkaido University; High Energy Accelerator Research Organization (KEK); Research Organization of Information &amp; Systems (ROIS); National Institute of Polar Research (NIPR) - Japan</t>
  </si>
  <si>
    <t>Fukazawa, H (corresponding author), Hokkaido Univ, Fac Engn, Dept Appl Phys, N13 W8, Sapporo, Hokkaido 060, Japan.</t>
  </si>
  <si>
    <t>0009-2614</t>
  </si>
  <si>
    <t>CHEM PHYS LETT</t>
  </si>
  <si>
    <t>Chem. Phys. Lett.</t>
  </si>
  <si>
    <t>SEP 25</t>
  </si>
  <si>
    <t>10.1016/S0009-2614(98)00908-7</t>
  </si>
  <si>
    <t>124RP</t>
  </si>
  <si>
    <t>WOS:000076195900017</t>
  </si>
  <si>
    <t>Delmdahl, RF; Ullrich, S; Gericke, KH</t>
  </si>
  <si>
    <t>Photofragmentation of OClO((A)over-tilde2A2 ν1ν2ν3)→Cl(2PJ)+O2</t>
  </si>
  <si>
    <t>ENHANCED MULTIPHOTON IONIZATION; ABSORPTION CROSS-SECTIONS; PHOTODISSOCIATION DYNAMICS; CHLORINE DIOXIDE; OCLO PHOTODISSOCIATION; STRATOSPHERIC OZONE; ANTARCTIC OZONE; 370 NM; CLO; KINETICS</t>
  </si>
  <si>
    <t>The photodissociation dynamics of OClO((2)A(2) nu(1)nu(2)nu(3)) --&gt; Cl(P-2(J)) + O-2 is investigated in the wavelength region between 360 and 450 nm. Observation of nascent chlorine atom fragments produced in their electronic ground state is performed by means of three-photon excitation with subsequent recording of the vacuum ultraviolet laser-induced fluorescence. Mode-specific branching ratios between the dominant ClO(X(2)Pi(Omega)) + O(P-3(J)) and the minor Cl(P-2(J)) + O-2 channel are obtained. The observed quantum yield for Cl production is determined to be below 3.6% at photolysis wavelengths between 365 and 450 nm depending on the respective vibrational level of OClO((2)A(2)nu(1)nu(2)nu(3)). At dissociation wavelengths below 365 nm, a sharp rise in the chlorine formation is observed resulting from a secondary photolysis step where vibrationally excited ClO(X(2)Pi(Omega), nu greater than or equal to 4) radicals are dissociated.</t>
  </si>
  <si>
    <t>Tech Univ Braunschweig, Inst Phys &amp; Theoret Chem, D-38106 Braunschweig, Germany</t>
  </si>
  <si>
    <t>Braunschweig University of Technology</t>
  </si>
  <si>
    <t>Gericke, KH (corresponding author), Tech Univ Braunschweig, Inst Phys &amp; Theoret Chem, Hans Sommer Str 10, D-38106 Braunschweig, Germany.</t>
  </si>
  <si>
    <t>Ullrich, Susanne/A-6264-2013</t>
  </si>
  <si>
    <t>SEP 24</t>
  </si>
  <si>
    <t>10.1021/jp972111z</t>
  </si>
  <si>
    <t>127WR</t>
  </si>
  <si>
    <t>WOS:000076374000020</t>
  </si>
  <si>
    <t>Bonnaud, L; Rodhouse, PG; Boucher-Rodoni, R</t>
  </si>
  <si>
    <t>A phylogenetic study of the squid family Onychoteuthidae (Cephalopoda: Oegopsida)</t>
  </si>
  <si>
    <t>phylogeny; oegopsid squids; morphometry; mt-1-rDNA sequences</t>
  </si>
  <si>
    <t>SEQUENCES</t>
  </si>
  <si>
    <t>The oegopsid squid family Onychoteuthidae presently comprises six genera (Moroteuthis, Onychoteuthis, Ancistroteuthis, Kondakovia, Onykia and Chaunoteuthis) but the status of some of these is still uncertain. An interdisciplinary study was undertaken to clarify the phylogenetic relationships, which included a morphological approach (morphometric analysis), and a molecular study of a mitochondrial gene portion (l-rRNA gene, 16S). The morphometric analysis identified two groups, one including some Onychoteuthis and some Moroteuthis knipovitchi, and another including the remaining genera or species. At the intrageneric level, M. knipovitchi appears to be separated from the other species of the genus; M. robusta is closely related to M. ingens and M. pacifica. Morphometric analysis confirmed that Kondakovia longimana is different from M. ingens. Likewise, Onychoteuthis was clearly separated from the other genera, but there is neither geographical grouping nor morphometric differentiation of the Onychoteuthis species with the parameters measured. Some specimens were apparently intermediate between the Onychoteuthis and Ancistroteuthis groups. On a molecular basis, the Onychoteuthidae appeared to be monophyletic. Monophyly of the genus Moroteuthis (four species studied) was not strongly supported: M. knipovitchi was distinct from the others. The molecular analysis showed three Hawaiian species, Onychoteuthis compacta, O. sp. B and O. sp. C, to be closely related. The gene sequence for the newly created species of Onykia is clearly different from all the others, indicating that it is a true species.</t>
  </si>
  <si>
    <t>Natl Museum Nat Hist, Lab Biol Invertebres Marins, CNRS, URA 699, F-75005 Paris, France; British Antarctic Survey, NERC, Cambridge CB3 0ET, England</t>
  </si>
  <si>
    <t>Museum National d'Histoire Naturelle (MNHN); Centre National de la Recherche Scientifique (CNRS); UK Research &amp; Innovation (UKRI); Natural Environment Research Council (NERC); NERC British Antarctic Survey</t>
  </si>
  <si>
    <t>Bonnaud, L (corresponding author), Natl Museum Nat Hist, Lab Biol Invertebres Marins, CNRS, URA 699, 55 Rue Buffon, F-75005 Paris, France.</t>
  </si>
  <si>
    <t>bonnaud@mnhn.fr</t>
  </si>
  <si>
    <t>BONNAUD-PONTICELLI, Laure/0000-0001-7510-5032</t>
  </si>
  <si>
    <t>SEP 22</t>
  </si>
  <si>
    <t>10.1098/rspb.1998.0500</t>
  </si>
  <si>
    <t>123QG</t>
  </si>
  <si>
    <t>WOS:000076135400010</t>
  </si>
  <si>
    <t>Matsumi, Y; Kishigami, M; Tanaka, N; Kawasaki, M; Inoue, G</t>
  </si>
  <si>
    <t>Isotope18O/16O ratio measurements of water vapor by use of photoacoustic spectroscopy</t>
  </si>
  <si>
    <t>APPLIED OPTICS</t>
  </si>
  <si>
    <t>We applied a photoacoustic spectroscopy technique to isotope ratio measurements of O-16 and O-18 in water-vapor samples, using a pulsed tunable dye laser pumped by a Nd:YAG laser. The fourth overtone bands (4 nu(OH)) of water molecules near 720 nm were investigated. We identified the absorption lines of H-2 O-16 and H-2 O-18 in the photoacoustic spectra that we measured by using an O-18-enriched water sample and the HITRAN database. We measured the difference in the O-18/O-16 isotope ratios for normal distilled water and Antarctic ice, using the photoacoustic method. The value obtained for the difference between the two samples is delta(18)O = -32 +/- 160 parts per thousand, where the indicated deviation was a 1 sigma value among 240-s measurements, whereas the value measured with a conventional isotope mass spectrometer was delta(18)O = -28 +/- 2 parts per thousand. This method is demonstrated to have the potential of a transportable system for in situ and quick measurements of the H-2 O-18/H-2 O-16 ratio in the environment. (C) 1998 Optical Society of America.</t>
  </si>
  <si>
    <t>Nagoya Univ, Solar Terr Environm Lab, Honohara, Toyokawa 4428507, Japan; Hokkaido Univ, Grad Sch Environm Earth Sci, Sapporo, Hokkaido 060, Japan; Kyoto Univ, Grad Sch Engn, Kyoto 60601, Japan; Natl Inst Environm Studies, Div Atmospher Environm, Tsukuba, Ibaraki 305, Japan</t>
  </si>
  <si>
    <t>Nagoya University; Hokkaido University; Kyoto University; National Institute for Environmental Studies - Japan</t>
  </si>
  <si>
    <t>Matsumi, Y (corresponding author), Nagoya Univ, Solar Terr Environm Lab, Honohara, Toyokawa 4428507, Japan.</t>
  </si>
  <si>
    <t>matsumi@stelab.nagoya-u.ac.jp</t>
  </si>
  <si>
    <t>Matsumi, Yutaka/I-6229-2014; Matsumi, Yutaka/AAM-6768-2021</t>
  </si>
  <si>
    <t>Matsumi, Yutaka/0000-0002-5881-1899</t>
  </si>
  <si>
    <t>OPTICAL SOC AMER</t>
  </si>
  <si>
    <t>2010 MASSACHUSETTS AVE NW, WASHINGTON, DC 20036 USA</t>
  </si>
  <si>
    <t>0003-6935</t>
  </si>
  <si>
    <t>APPL OPTICS</t>
  </si>
  <si>
    <t>Appl. Optics</t>
  </si>
  <si>
    <t>SEP 20</t>
  </si>
  <si>
    <t>10.1364/AO.37.006558</t>
  </si>
  <si>
    <t>Optics</t>
  </si>
  <si>
    <t>121WH</t>
  </si>
  <si>
    <t>WOS:000076038400036</t>
  </si>
  <si>
    <t>David, C; Bekki, S; Godin, S; Megie, G; Chipperfield, MP</t>
  </si>
  <si>
    <t>Polar stratospheric clouds climatology over Dumont d'Urville between 1989 and 1993 and the influence of volcanic aerosols on their formation</t>
  </si>
  <si>
    <t>ANTARCTIC SPRING STRATOSPHERE; NITRIC-ACID; LIDAR OBSERVATIONS; AIRBORNE LIDAR; SOUTH-POLE; VAPOR-PRESSURES; FROST POINT; OZONE HOLE; TEMPERATURE; GROWTH</t>
  </si>
  <si>
    <t>The first polar stratospheric clouds (PSCs) climatology ever established from lidar data and relative to a specific site is presented here. It is based on lidar backscatter and depolarization measurements of PSCs carried out between 1989 and 1993 at Dumont d'Urville (66 degrees S, 140 degrees E), which is a primary station of the Network for Detection of Stratospheric Changes (NDSC). The climatology was subdivided based on the stratospheric sulphuric acid aerosol content (background aerosols in 1989-1991 and volcanic aerosols in 1992-1993 following the Mount Pinatubo eruption). PSCs were mainly observed in July and August. Very few water ice clouds (type II) were detected. Most of the PSCs tended to form around the peak in sulphuric acid aerosol, between 17 and 23 km in 1989-1991 and between 11 and 20 km in 1992-1993. This tendency suggests that sulphuric acid aerosols are very likely to act as condensation nuclei for PSCs. As shown by previous lidar studies [Browell et al., 1990], two type I subclasses were identified: depolarizing (nonspherical) particles (type Ia) and nondepolarizing (spherical) particles (type Ib). No type Ia PSCs were detected above the nitric acid trihydrate (NAT) saturation temperature, T-NAT, lending support to the theory that NAT is the main component of type Ia PSCs. There was also no evidence of the existence of sulphuric acid tetrahydrate (SAT) in the data. Some type Ib PSCs were observed close to the frost point, showing that supersaturation with respect to NAT is a necessary, but not sufficient, condition for the existence of solid PSCs. No type Ib PSCs were clearly detected above TNAT in 1989-1991 whereas 18% of the PSCs seem to be found at temperatures above TNAT in 1992-1993. This difference might be linked to the HNO3 uptake by volcanic sulphuric acid particles starting at higher temperatures. The fraction of type Ia out of the total PSCs observations was lower in 1992-1993 than in 1989-1991. This difference was not found to be highly statistically significant.</t>
  </si>
  <si>
    <t>Univ Paris 06, Inst Pierre Simon Laplace, Serv Aeron, CNRS, F-75252 Paris 05, France; Univ Cambridge, Dept Chem, Cambridge CB2 1EW, England</t>
  </si>
  <si>
    <t>Centre National de la Recherche Scientifique (CNRS); CNRS - National Institute for Earth Sciences &amp; Astronomy (INSU); Universite Paris Cite; Universite Paris Saclay; Sorbonne Universite; University of Cambridge</t>
  </si>
  <si>
    <t>Univ Paris 06, Inst Pierre Simon Laplace, Serv Aeron, CNRS, 4 Pl Jussieu,Boite 102, F-75252 Paris 05, France.</t>
  </si>
  <si>
    <t>Christine.David@aero.jussieu.fr; martyn@atm.ch.cam.ac.uk</t>
  </si>
  <si>
    <t>Chipperfield, Martyn/H-6359-2013; bekki, slimane/J-7221-2015</t>
  </si>
  <si>
    <t>Chipperfield, Martyn/0000-0002-6803-4149; bekki, slimane/0000-0002-5538-0800</t>
  </si>
  <si>
    <t>D17</t>
  </si>
  <si>
    <t>10.1029/98JD01692</t>
  </si>
  <si>
    <t>120WM</t>
  </si>
  <si>
    <t>WOS:000075980400018</t>
  </si>
  <si>
    <t>Kallenborn, R; Oehme, M; Wynn-Williams, DD; Schlabach, M; Harris, J</t>
  </si>
  <si>
    <t>Ambient air levels and atmospheric long-range transport of persistent organochlorines to Signy Island, Antarctica</t>
  </si>
  <si>
    <t>SCIENCE OF THE TOTAL ENVIRONMENT</t>
  </si>
  <si>
    <t>organochlorines; global transport; ambient air concentrations; Antarctica</t>
  </si>
  <si>
    <t>PESTICIDES; POLLUTANTS; OCEAN</t>
  </si>
  <si>
    <t>Levels of persistent organic pollutants (POPs), such as polychlorinated biphenyls and pesticides have been determined in ambient air at Signy Island, Antarctica, over a period of 17 weeks. Mean concentrations for single polychlorinated biphenyls (0.02-17 pg/m(3)), for chlordanes (0.04-0.9 pg/m(3)), DDT compounds (0.07-0.40 pg/m(3)) and gamma-hexachlorocyclohexane (HCH, 22 pg/m(3)) were comparable to those in Arctic air. However, alpha-HCH levels were approximately one order of magnitude lower. Compared to the Arctic, differences were also observed in the concentration ratios of alpha-/gamma-HCH and chlordane compounds. Two possible atmospheric long-range transport episodes from South America were found by comparing 10-day back trajectories with observed concentration changes. The lower limits of determination (LOD) were mainly governed by the field blanks. They were satisfactory for the most volatile PCBs. However, many concentrations for DDT and chlordane compounds were below the LODs (range 0.1-1 pg/m(3)) or even the instrumental detection limit (0.01-0.03 pg/m(3)). (C) 1998 Elsevier Science B.V. All rights reserved.</t>
  </si>
  <si>
    <t>Norwegian Inst Air Res, N-9005 Tromso, Norway; Univ Basel, CH-4057 Basel, Switzerland; British Antarctic Survey, Cambridge CB3 0ET, England; NOAA, Dept Commerce, Boulder, CO 80303 USA</t>
  </si>
  <si>
    <t>NILU; University of Basel; UK Research &amp; Innovation (UKRI); Natural Environment Research Council (NERC); NERC British Antarctic Survey; National Oceanic Atmospheric Admin (NOAA) - USA</t>
  </si>
  <si>
    <t>Norwegian Inst Air Res, N-9005 Tromso, Norway.</t>
  </si>
  <si>
    <t>Kallenborn, Roland/F-8368-2011; Schlabach, Martin/J-3348-2013</t>
  </si>
  <si>
    <t>Kallenborn, Roland/0000-0003-1703-2538; Schlabach, Martin/0000-0003-3705-7943</t>
  </si>
  <si>
    <t>0048-9697</t>
  </si>
  <si>
    <t>1879-1026</t>
  </si>
  <si>
    <t>SCI TOTAL ENVIRON</t>
  </si>
  <si>
    <t>Sci. Total Environ.</t>
  </si>
  <si>
    <t>SEP 18</t>
  </si>
  <si>
    <t>10.1016/S0048-9697(98)00257-5</t>
  </si>
  <si>
    <t>130CN</t>
  </si>
  <si>
    <t>WOS:000076501700007</t>
  </si>
  <si>
    <t>Arrigo, KR; Robinson, DH; Worthen, DL; Schieber, B; Lizotte, MP</t>
  </si>
  <si>
    <t>Bio-optical properties of the southwestern Ross Sea</t>
  </si>
  <si>
    <t>PHYTOPLANKTON PRODUCTION; ABSORPTION-SPECTRA; SOUTHERN-OCEAN; PACIFIC-OCEAN; WATERS; MATTER; DISTRIBUTIONS; FLUORESCENCE; CHLOROPHYLL; ANTARCTICA</t>
  </si>
  <si>
    <t>The bio-optical properties of the southwestern Ross Sea were measured as part of the Antarctic research program Research on Atmospheric Variability and Atmospheric Response in the Ross Sea (ROAVERRS), The study area contained three distinct phytoplankton blooms, distinguishable by species composition, The largest in area was located to the north of the Ross Ice Shelf and was dominated by the prymnesiophyte Phaeocystis antarctica; chlorophyll a (Chl a) ranged from 0.45 to 8.2 mg m(-3). Beam attenuation and particle absorption at 435 nm were as high as 3.4 m(-1) and 0.35 m(-1), respectively. A bloom of diatoms was more spatially restricted, located to the north and west of the P. antarctica bloom, with Chl a generally below 4 mg m(-3). Neither diatoms nor P. antarctica exhibited evidence of the level of pigment packaging measured in waters near the Antarctic Peninsula during the Research on Antarctic Coastal Ecosystem Rates (RACER) program, possibly because of their smaller sizes. A much smaller cryptophyte bloom, located south of the Drygalski Ice Tongue, displayed a lower pigment-specific absorption spectra than did P. antarctica or diatoms, a sign of greater pigment packaging. Pigment-specific diffuse attenuation coefficients were consistent with the pigment-specific particle absorption coefficients (a (ph)*), both being similar to 3 times greater than similar measurements made during RACER. Spectral absorption by solutes determined through regression analysis of K-d against Chl a for the ROAVERRS data set was nearly identical to that measured during RACER, Total diffuse attenuation spectra at a given station could be reconstructed by summing the inherent optical properties of the major optical components (pure water, soluble material, detritus, phytoplankton) measured there. Differences in the absorption ratio of a(ph)*(lambda) at 490 nm to a(ph)*(lambda) at 555 nm among the three dominant phytoplankton taxa in the southwestern Ross Sea were responsible for most of the variability in the ratio of remote sensing reflectance (R-rs) at these same wavelengths. At a given concentration of Chl a, the ratio log [R-rs(490):R-rs(555)] was greatest in cryptophyte-dominated waters, which also possessed the lowest a(ph)*(490): a(ph)*(555) ratio, and lowest in P. antarctica-dominated waters. These bio-optical differences suggest that no simple empirical relationship between Chl a and log [R-rs(490): R-rs(555)] will apply to all three taxonomically distinct phytoplankton blooms in the southwestern Ross Sea.</t>
  </si>
  <si>
    <t>NASA, Oceans &amp; Ice Branch, Goddard Space Flight Ctr, Univ Space Res Assoc, Greenbelt, MD 20771 USA; Sci Syst &amp; Applicat Inc, Lanham, MD 20706 USA; Gen Sci Corp, Laurel, MD 20707 USA; Univ Wisconsin, Dept Biol &amp; Microbiol, Oshkosh, WI 54901 USA</t>
  </si>
  <si>
    <t>National Aeronautics &amp; Space Administration (NASA); NASA Goddard Space Flight Center; Universities Space Research Association (USRA); Science Systems and Applications Inc; University of Wisconsin System</t>
  </si>
  <si>
    <t>NASA, Oceans &amp; Ice Branch, Goddard Space Flight Ctr, Univ Space Res Assoc, Code 971-0, Greenbelt, MD 20771 USA.</t>
  </si>
  <si>
    <t>kevin@shark.gsfc.nasa.gov</t>
  </si>
  <si>
    <t>Arrigo, Kevin/0000-0002-7364-876X</t>
  </si>
  <si>
    <t>SEP 15</t>
  </si>
  <si>
    <t>C10</t>
  </si>
  <si>
    <t>10.1029/98JC02157</t>
  </si>
  <si>
    <t>118WG</t>
  </si>
  <si>
    <t>WOS:000075863500022</t>
  </si>
  <si>
    <t>Fields, PA; Somero, GN</t>
  </si>
  <si>
    <t>Hot spots in cold adaptation:: Localized increases in conformational flexibility in lactate dehydrogenase A4 orthologs of Antarctic notothenioid fishes</t>
  </si>
  <si>
    <t>PROCEEDINGS OF THE NATIONAL ACADEMY OF SCIENCES OF THE UNITED STATES OF AMERICA</t>
  </si>
  <si>
    <t>DIFFERENT THERMAL ENVIRONMENTS; ACTIVE-SITE; ANTIFREEZE GLYCOPEPTIDES; TEMPERATURE; EVOLUTION; CATALYSIS; ICEFISHES; STABILITY; PROTEINS; SEQUENCE</t>
  </si>
  <si>
    <t>To elucidate mechanisms of enzymatic adaptation to extreme cold, we determined kinetic properties, thermal stabilities, and deduced amino acid sequences of lactate dehydrogenase A(4) (A(4)-LDH) from nine Antarctic (-1.86 to 1 degrees C) and three South American (4 to 10 degrees C) notothenioid teleosts, Higher Michaelis-Menten constants (K-m) and catalytic rate constants (k(cat)) distinguish orthologs of Antarctic from those of South American species, but no relationship exists between adaptation temperature and the rate at which activity is lost because of heat denaturation. In all species, active site residues are conserved fully, and differences in k(cat) and K-m are caused by substitutions elsewhere in the molecule. Within geographic groups, identical kinetic propel-ties are generated by different substitutions. By combining our data with A(4)-LDH sequences for other vertebrates and information on roles played by localized conformational changes in setting k(cat), we conclude that notothenioid A(4)-LDHs have adapted to cold temperatures by increases in flexibility in small areas of the molecule that affect the mobility of adjacent active-site structures, Using these findings, we propose a model that explains linked temperature-adaptive variation in K-m and k(cat). Changes in sequence that increase flexibility of regions of the enzyme involved in catalytic conformational changes may reduce energy (enthalpy) barriers to these rate-governing shifts in conformation and, thereby, increase k(cat). However, at a common temperature of measurement, the higher configurational entropy of a cold-adapted enzyme may foster conformations that bind ligands poorly, leading to high K-m values relative to warm-adapted orthologs.</t>
  </si>
  <si>
    <t>Stanford Univ, Hopkins Marine Stn, Pacific Grove, CA 93950 USA</t>
  </si>
  <si>
    <t>Stanford University</t>
  </si>
  <si>
    <t>Stanford Univ, Hopkins Marine Stn, Pacific Grove, CA 93950 USA.</t>
  </si>
  <si>
    <t>pfields@leland.stanford.edu</t>
  </si>
  <si>
    <t>Somero, George/AAC-3321-2019</t>
  </si>
  <si>
    <t>Somero, George/0000-0003-1431-6455</t>
  </si>
  <si>
    <t>NATL ACAD SCIENCES</t>
  </si>
  <si>
    <t>2101 CONSTITUTION AVE NW, WASHINGTON, DC 20418 USA</t>
  </si>
  <si>
    <t>0027-8424</t>
  </si>
  <si>
    <t>P NATL ACAD SCI USA</t>
  </si>
  <si>
    <t>Proc. Natl. Acad. Sci. U. S. A.</t>
  </si>
  <si>
    <t>10.1073/pnas.95.19.11476</t>
  </si>
  <si>
    <t>120LD</t>
  </si>
  <si>
    <t>WOS:000075957100085</t>
  </si>
  <si>
    <t>Hickey-Vargas, R</t>
  </si>
  <si>
    <t>Origin of the Indian Ocean-type isotopic signature in basalts from Philippine Sea plate spreading centers: An assessment of local versus large-scale processes</t>
  </si>
  <si>
    <t>AUSTRALIAN-ANTARCTIC DISCORDANCE; CONVERGENT-MARGIN MAGMAS; NORTHERN MARIANA-ISLANDS; SOUTH CHINA BASIN; BACK-ARC BASIN; VOLCANIC-ROCKS; TRACE-ELEMENT; MANTLE COMPONENT; SUBDUCTION ZONES; TROUGH BASALTS</t>
  </si>
  <si>
    <t>Basalts erupted from spreading centers on the Philippine Sea plate between 50 Ma and the present have the distinctive isotopic characteristics of Indian Ocean mid-ocean ridge basalt (MORB), such as high Pb-208/Pb-204 and low Nd-143/Nd-144 for a given Pb-206/Pb-204 compared with Pacific and Atlantic Ocean MORB. This feature may indicate that the upper mantle of the Philippine Sea plate originated as part of the existing Indian Ocean upper mantle domain, or, alternatively, that local processes duplicated these isotopic characteristics within the sub-Philippine Sea plate upper mantle. Synthesis of new and published isotopic data for Philippine Sea plate basin basalts and island are volcanic rocks, radiometric ages, and tectonic reconstructions of the plate indicates that local processes, such as contamination of the upper mantle by subducted materials or by western Pacific mantle plumes, did not produce the Indian Ocean-type signature in Philippine Sea plate MORB. It is more likely that the plate originated over a rapidly growing Indian Ocean upper mantle domain that had spread into the area between Australia/New Guinea and southeast Asia before 50 Ma.</t>
  </si>
  <si>
    <t>Florida Int Univ, Dept Geol, Miami, FL 33199 USA</t>
  </si>
  <si>
    <t>State University System of Florida; Florida International University</t>
  </si>
  <si>
    <t>Hickey-Vargas, R (corresponding author), Florida Int Univ, Dept Geol, Miami, FL 33199 USA.</t>
  </si>
  <si>
    <t>SEP 10</t>
  </si>
  <si>
    <t>B9</t>
  </si>
  <si>
    <t>10.1029/98JB02052</t>
  </si>
  <si>
    <t>119WE</t>
  </si>
  <si>
    <t>WOS:000075920500012</t>
  </si>
  <si>
    <t>Mitchell, NC; Livermore, RA</t>
  </si>
  <si>
    <t>Spiess ridge: An axial high on the slow spreading southwest Indian ridge (vol 103, pg 15457, 1998)</t>
  </si>
  <si>
    <t>10.1029/98JB02621</t>
  </si>
  <si>
    <t>WOS:000075920500018</t>
  </si>
  <si>
    <t>Capasso, C; Riggio, M; Scudiero, R; Carginale, V; di Prisco, G; Kay, J; Kille, P; Parisi, E</t>
  </si>
  <si>
    <t>Molecular cloning and sequence determination of a novel aspartic proteinase from Antarctic fish</t>
  </si>
  <si>
    <t>BIOCHIMICA ET BIOPHYSICA ACTA-PROTEIN STRUCTURE AND MOLECULAR ENZYMOLOGY</t>
  </si>
  <si>
    <t>aspartic proteinase; cathepsin D; cathepsin E; (Antarctic fish)</t>
  </si>
  <si>
    <t>In the present report, we describe a novel aspartic proteinase from the liver of two Antarctic fish species. The nucleotide sequences of the cDNA obtained from the two fishes show 90% identity with each other but only 58% identity with aspartic proteinases from other sources. Sequence analysis shows features for the Antarctic enzymes which are not present in related enzymes of other organisms. (C) 1998 Elsevier Science B.V. All rights reserved.</t>
  </si>
  <si>
    <t>Inst Prot Biochem &amp; Enzymol, I-80125 Naples, Italy; Univ Naples Federico II, Dept Evolutionary &amp; Comparat Biochem, I-80134 Naples, Italy; Univ Wales, Sch Mol &amp; Med Biosci, Cardiff CF1 3US, S Glam, Wales</t>
  </si>
  <si>
    <t>Consiglio Nazionale delle Ricerche (CNR); Istituto di Biochimica delle Proteine (IBP-CNR); University of Naples Federico II; Cardiff University</t>
  </si>
  <si>
    <t>Parisi, E (corresponding author), Inst Prot Biochem &amp; Enzymol, Via Marconi 10, I-80125 Naples, Italy.</t>
  </si>
  <si>
    <t>Scudiero, Rosaria/AAI-2119-2020; Kille, Peter/A-4337-2010; Carginale, Vincenzo/N-2531-2014; CAPASSO, CLEMENTE/P-3522-2016</t>
  </si>
  <si>
    <t>Kille, Peter/0000-0001-6023-5221; Scudiero, Rosaria/0000-0002-8186-9722; Carginale, Vincenzo/0000-0002-1842-494X; CAPASSO, CLEMENTE/0000-0003-3314-2411</t>
  </si>
  <si>
    <t>0167-4838</t>
  </si>
  <si>
    <t>BBA-PROTEIN STRUCT M</t>
  </si>
  <si>
    <t>Biochim. Biophys. Acta-Protein Struct. Molec. Enzym.</t>
  </si>
  <si>
    <t>SEP 8</t>
  </si>
  <si>
    <t>10.1016/S0167-4838(98)00136-8</t>
  </si>
  <si>
    <t>125DU</t>
  </si>
  <si>
    <t>WOS:000076222800045</t>
  </si>
  <si>
    <t>Gerike, U; Russell, RJM; Danson, MJ; Russell, NJ; Hough, DW; Taylor, GL</t>
  </si>
  <si>
    <t>Preliminary crystallographic studies of citrate synthase from an Antarctic psychrotolerant bacterium</t>
  </si>
  <si>
    <t>ACTA CRYSTALLOGRAPHICA SECTION D-BIOLOGICAL CRYSTALLOGRAPHY</t>
  </si>
  <si>
    <t>CRYSTAL-STRUCTURE; PYROCOCCUS-FURIOSUS; RESOLUTION; CRYSTALLIZATION; PROTEINS; ARCHAEON</t>
  </si>
  <si>
    <t>Recombinant citrate synthase from a psychrotolerant bacterium, DS2-3R, recently isolated in Antarctica, has been crystallized. The crystals belong to space group P6(1)22 or P6(5)22, with cell dimensions a = b = 70.8, c = 307.8 Angstrom. Diffraction data collected on a synchrotron from a cryoprotected crystal extend to at least 2.0 Angstrom. Knowledge of the structure of this enzyme Rill add to the understanding of told activity and thermolability and will be of biotechnological interest. Previously, the structure of citrate synthase from Archaea inhabiting environments at 328 and 373 K, has been reported. This present study will extend our understanding of the structural integrity and activity of proteins at the temperature extremes of life.</t>
  </si>
  <si>
    <t>Univ Bath, Dept Biol &amp; Biochem, Ctr Extremophile Res, Bath BA2 7AY, Avon, England; Univ London Wye Coll, Dept Biol Sci, Ashford TN25 5AH, Kent, England</t>
  </si>
  <si>
    <t>University of Bath; Imperial College London</t>
  </si>
  <si>
    <t>Gerike, U (corresponding author), Univ Bath, Dept Biol &amp; Biochem, Ctr Extremophile Res, Bath BA2 7AY, Avon, England.</t>
  </si>
  <si>
    <t>Taylor, Garry/G-3017-2014</t>
  </si>
  <si>
    <t>MUNKSGAARD INT PUBL LTD</t>
  </si>
  <si>
    <t>COPENHAGEN</t>
  </si>
  <si>
    <t>35 NORRE SOGADE, PO BOX 2148, DK-1016 COPENHAGEN, DENMARK</t>
  </si>
  <si>
    <t>0907-4449</t>
  </si>
  <si>
    <t>ACTA CRYSTALLOGR D</t>
  </si>
  <si>
    <t>Acta Crystallogr. Sect. D-Biol. Crystallogr.</t>
  </si>
  <si>
    <t>SEP 1</t>
  </si>
  <si>
    <t>10.1107/S0907444998002583</t>
  </si>
  <si>
    <t>Biochemical Research Methods; Biochemistry &amp; Molecular Biology; Biophysics; Crystallography</t>
  </si>
  <si>
    <t>Biochemistry &amp; Molecular Biology; Biophysics; Crystallography</t>
  </si>
  <si>
    <t>120JA</t>
  </si>
  <si>
    <t>WOS:000075952200039</t>
  </si>
  <si>
    <t>Hänel, C; Chown, SL; Davies, L</t>
  </si>
  <si>
    <t>Records of alien insect species from sub-Antarctic Marion and South Georgia islands</t>
  </si>
  <si>
    <t>AFRICAN ENTOMOLOGY</t>
  </si>
  <si>
    <t>PRINCE-EDWARD-ISLANDS; BEETLE</t>
  </si>
  <si>
    <t>Univ Pretoria, Dept Zool &amp; Entomol, ZA-0002 Pretoria, South Africa</t>
  </si>
  <si>
    <t>Chown, SL (corresponding author), Univ Pretoria, Dept Zool &amp; Entomol, ZA-0002 Pretoria, South Africa.</t>
  </si>
  <si>
    <t>ENTOMOL SOC SOUTH AFRICA</t>
  </si>
  <si>
    <t>PO BOX 103, PRETORIA 0001, SOUTH AFRICA</t>
  </si>
  <si>
    <t>1021-3589</t>
  </si>
  <si>
    <t>AFR ENTOMOL</t>
  </si>
  <si>
    <t>Afr. Entomol.</t>
  </si>
  <si>
    <t>SEP</t>
  </si>
  <si>
    <t>157QE</t>
  </si>
  <si>
    <t>WOS:000078072500016</t>
  </si>
  <si>
    <t>Hughes, S</t>
  </si>
  <si>
    <t>Wake of the Invercauld: Shipwrecked in the sub-Antarctic, a great-granddaughter's pilgrimage</t>
  </si>
  <si>
    <t>AMERICAN NEPTUNE</t>
  </si>
  <si>
    <t>PEABODY MUSEUM</t>
  </si>
  <si>
    <t>SALEM</t>
  </si>
  <si>
    <t>E INDIA MARINE HALL, SALEM, MA 01970 USA</t>
  </si>
  <si>
    <t>0003-0155</t>
  </si>
  <si>
    <t>AM NEPTUNE</t>
  </si>
  <si>
    <t>Am. Neptune</t>
  </si>
  <si>
    <t>FAL</t>
  </si>
  <si>
    <t>History</t>
  </si>
  <si>
    <t>Arts &amp; Humanities Citation Index (A&amp;HCI)</t>
  </si>
  <si>
    <t>188GV</t>
  </si>
  <si>
    <t>WOS:000079839200011</t>
  </si>
  <si>
    <t>Goodwin, ID</t>
  </si>
  <si>
    <t>Unravelling the history of climate change</t>
  </si>
  <si>
    <t>IPO, PAGES/JXY-7546-2024</t>
  </si>
  <si>
    <t>Goodwin, Ian/0000-0001-8682-6409</t>
  </si>
  <si>
    <t>10.1017/S0954102098000303</t>
  </si>
  <si>
    <t>121LL</t>
  </si>
  <si>
    <t>WOS:000076015200001</t>
  </si>
  <si>
    <t>Goodwin, ID; Pudsey, CJ</t>
  </si>
  <si>
    <t>Special issue - Antarctic ice margin evolution (ANTIME) meeting held at Hobart, 6-11 July 1997 - Introduction</t>
  </si>
  <si>
    <t>CRC, SCAR Global Change Programme Coordinators Antarct, GPO Box 252-80, Hobart, Tas 7001, Australia</t>
  </si>
  <si>
    <t>CRC, SCAR Global Change Programme Coordinators Antarct, GPO Box 252-80, Hobart, Tas 7001, Australia.</t>
  </si>
  <si>
    <t>Ian.Goodwin@utas.edu.au</t>
  </si>
  <si>
    <t>10.1017/S0954102098000315</t>
  </si>
  <si>
    <t>WOS:000076015200002</t>
  </si>
  <si>
    <t>Harris, PT; Taylor, F; Pushina, Z; Leitchenkov, G; O'Brien, PE; Smirnov, V</t>
  </si>
  <si>
    <t>Lithofacies distribution in relation to the geomorphic provinces of Prydz Bay, East Antarctica</t>
  </si>
  <si>
    <t>1st Workshop on the Late Quaternary Sedimentary Record of the Antarctic Ice Margin Evolution (ANTIME)</t>
  </si>
  <si>
    <t>JUL 06-11, 1997</t>
  </si>
  <si>
    <t>HOBART, AUSTRALIA</t>
  </si>
  <si>
    <t>Amery Ice Shelf; diatoms; facies; geomorphology; Prydz Bay; sediments</t>
  </si>
  <si>
    <t>ICE; SHELF; CLASSIFICATION; SEDIMENTS; ORIGIN; SEA</t>
  </si>
  <si>
    <t>Over the past 15 years, Japanese, Australian and Russian expeditions to Prydz Bay have collected about 30000 km of bathymetric data, 6000 km of sidescan sonar data and more than 250 sediment grab and core samples. These data were used in the present study to compile surficial sediment, bathymetric, and geomorphological maps of the Prydz Bay region. Lithofacies distribution was determined by surficial sediment data analysis using sample matrix (Q-mode) and cluster analysis techniques based on data from 206 sites. Data included percentage biogenic silica(opal), calcium carbonate, gravel, mud, and relative abundance of two diatom species (Fragilariopsis curta and F. kerguelensis). Five lithofacies are identified from the available data: (1) slightly gravelly sandy mud (g)sM lithofacies, (2) siliceous mud and diatom ooze (SMO) lithofacies, (3) F. kerguelensis pelagic ooze lithofacies, (4) F. curta gravelly muddy sand gmS lithofacies and (5) calcareous gravel lithofacies. In many areas the lithofacies correlate to geomorphological provinces as defined by previous investigators using 3.5 kHz and sidescan sonar data. In some cases, Holocene SMO sediments are seen to drape over iceberg plough marks, implying that these are relict features. These five lithofacies are likely to dominate most of the East Antarctic shelf region and may be helpful in defining sedimentary successions resulting from ice-sheet advance and retreat over glacial-interglacial cycles.</t>
  </si>
  <si>
    <t>Antarctic CRC, GPO Box 252-80, Hobart, Tas 7001, Australia; Australian Geol Survey Org, Canberra, ACT 2601, Australia; VNIIOkeangeol, St Petersburg 190121, Russia; Polar Marine Geol Res Expedit, Lomonosov, Russia</t>
  </si>
  <si>
    <t>Geoscience Australia</t>
  </si>
  <si>
    <t>Antarctic CRC, GPO Box 252-80, Hobart, Tas 7001, Australia.</t>
  </si>
  <si>
    <t>IPO, PAGES/JXY-7546-2024; Harris, Peter T/C-6997-2009; Harris, Peter/AAI-7100-2020</t>
  </si>
  <si>
    <t>O'Brien, Philip/0000-0003-3446-3292; Leitchenkov, German/0000-0001-6316-8511</t>
  </si>
  <si>
    <t>10.1017/S0954102098000327</t>
  </si>
  <si>
    <t>WOS:000076015200003</t>
  </si>
  <si>
    <t>Domack, E; O'Brien, P; Harris, P; Taylor, F; Quilty, PG; De Santis, L; Raker, B</t>
  </si>
  <si>
    <t>Late Quaternary sediment facies in Prydz Bay, East Antarctica and their relationship to glacial advance onto the continental shelf</t>
  </si>
  <si>
    <t>diatoms; glacial marine; Late Quaternary; Prydz Bay; radiocarbon</t>
  </si>
  <si>
    <t>ICE-SHEET; SEA</t>
  </si>
  <si>
    <t>A marine survey in Prydz Bay, provides an unparalleled view of glacigenic and marine sedimentation across Prydz Channel and Amery Depression during the Late Quaternary. Gravity cores and a suite of eight radiocarbon dates indicate that the Late Wisconsin Glacial Maximum (LGM) was associated with grounding of a palaeo-ice shelf along the periphery of Prydz Channel. Deposition in front of the grounding line was dominated by ice-rafting. A granulated facies, containing angular clay and diamicton clasts, was produced by a combination of regelation freezing, near to the grounding line, and remelting of this basal debris in the sub-ice shelf setting. Beneath these LGM marine deposits lie two key beds of diatom ooze that are distinct in size sorting and Pliocene diatoms. These interstadial units can be traced across most of the Prydz Channel, and are underlain by additional glacial marine units. Debris related to the Lambert Deep is distinct from detritus from eastern Prydz Bay and deposition of these two sources within the channel oscillated during the LGM. We suggest that coastal drainage systems contributed to a limited glaciation of the shelf during the LGM, rather than direct outflow via the Lambert/Amery system. it is proposed that shelf-wide glaciation is related to the duration of glacial sea level lowstands rather than the absolute magnitude of eustatic fall during such episodes.</t>
  </si>
  <si>
    <t>Hamilton Coll, Dept Geol, Clinton, NY 13323 USA; Australian Geol Survey Org, Canberra, ACT 2601, Australia; CRC, Australian Geol Survey Org, Hobart, Tas 7001, Australia; Australian Antarctic Div, Kingston, Tas 7050, Australia; Osservatorio Geofis Sperimentale, I-34016 Opicina, TS, Italy; Wesleyan Univ, Dept Earth &amp; Environm Sci, Middletown, CT 06459 USA</t>
  </si>
  <si>
    <t>Hamilton College; Geoscience Australia; Geoscience Australia; Australian Antarctic Division; Wesleyan University</t>
  </si>
  <si>
    <t>Hamilton Coll, Dept Geol, Clinton, NY 13323 USA.</t>
  </si>
  <si>
    <t>10.1017/S0954102098000339</t>
  </si>
  <si>
    <t>WOS:000076015200004</t>
  </si>
  <si>
    <t>Lyons, WB; Tyler, SW; Wharton, RA; McKnight, DM; Vaughn, BH</t>
  </si>
  <si>
    <t>A Late Holocene desiccation of Lake Hoare and Lake Fryxell, McMurdo Dry Valleys, Antarctica</t>
  </si>
  <si>
    <t>climate change; hydrological balance; lakes</t>
  </si>
  <si>
    <t>EVOLUTION; VANDA</t>
  </si>
  <si>
    <t>Stable isotope data from waters of lakes in the McMurdo Dry Valleys (MDV) of southern Victoria Land, Antarctica are presented in order to establish the climatic history of this region over the past two millennia. New data from take Fryxell and Lake Hoare in Taylor Valley, along with previously published data from Lake Vanda, Wright Valley and Lake Bonney, Taylor Valley are used to infer the recent climatic history of MDV. Lakes Vanda, Fryxell and Bonney appear to have lost their ice covers and evaporated to small, hypersaline ponds by 1000 to 1200 yr sp. Lake Hoare either desiccated or did not exist prior to similar to 1200 yr np. These data indicate a major lowering of lake level prior to similar to 1000 yr sp, followed by a warmer and/or more humid climate since then.</t>
  </si>
  <si>
    <t>Univ Alabama, Dept Geol, POB 870338, Tuscaloosa, AL 35487 USA; Univ Nevada, Desert Res Inst, Reno, NV 89506 USA; Univ Colorado, Inst Arctic &amp; Alpine Res, Boulder, CO 80303 USA</t>
  </si>
  <si>
    <t>University of Alabama System; University of Alabama Tuscaloosa; Nevada System of Higher Education (NSHE); Desert Research Institute NSHE; University of Nevada Reno; University of Colorado System; University of Colorado Boulder</t>
  </si>
  <si>
    <t>Univ Alabama, Dept Geol, POB 870338, Tuscaloosa, AL 35487 USA.</t>
  </si>
  <si>
    <t>IPO, PAGES/JXY-7546-2024; Vaughn, Bruce/AAO-8867-2020</t>
  </si>
  <si>
    <t>MCKNIGHT, DIANE/0000-0002-4171-1533; VAUGHN, BRUCE/0000-0001-6503-957X</t>
  </si>
  <si>
    <t>10.1017/S0954102098000340</t>
  </si>
  <si>
    <t>WOS:000076015200005</t>
  </si>
  <si>
    <t>Emslie, SD; Fraser, W; Smith, RC; Walker, W</t>
  </si>
  <si>
    <t>Abandoned penguin colonies and environmental change in the Palmer Station area, Anvers Island, Antarctic Peninsula</t>
  </si>
  <si>
    <t>abandoned colonies; Adelie penguins; climate change; palaeodiet; palaeoecology</t>
  </si>
  <si>
    <t>TROPHIC RELATIONSHIPS; ORNITHOGENIC SOILS; SEA-ICE; ROOKERIES; C-13/C-12; ISOTOPE; CARBON; DIETS; LAND; BAY</t>
  </si>
  <si>
    <t>Six abandoned colonies of Adelie penguin (Pygoscelis adeliae) were excavated near Palmer Station, Anvers island, Antarctic Peninsula, to investigate the occupation history of this species. Sediments from each site yielded abundant fish bones and otoliths and squid beaks that represent prey remains deposited by penguins during the nesting period. Radiocarbon analyses indicate that colony occupation began prior to the Little Ice Age (LIA; 1500-1850 AD), with the oldest site dating to 644 yrs before present (sp; average reservoir-corrected date with Is range, 603-679 yr sp). Food remains indicate that the non-euphausiid prey of penguins consisted primarily of a mesopelagic squid (Psychroteuthis glacialis) and two species of fish (Pleuragramma antarcticum and Electrona antarctica). The relative abundance of the first two prey taxa varied significantly among six sites (chi(2) &gt; 34.6; df = 10; P &lt; 0.001) with colonies dating prior to the LIA having greater representation of squid, and less of silverfish, than those occupied during the LIA. Data from control excavations at three modem colonies indicate a diet similar to that of the pre-LIA sites. These results suggest that Adelie penguins may have changed their diet in response to warming and cooling cycles in the past. In addition, only Adelie penguins are known to have nested in the Palmer Station area prior to the 1950s; gentoo (Pygoscelis papua) and chinstrap (P. antarctica) penguins now breeding in this region have expanded their ranges southward in the Peninsula within the past 50 yrs, in correlation with pronounced regional warming.</t>
  </si>
  <si>
    <t>Univ N Carolina, Dept Biol Sci, 601 S Coll Rd, Wilmington, NC 28403 USA; Montana State Univ, Dept Biol, Polar Oceans Res Grp, Bozeman, MT 59717 USA; Univ Calif Santa Barbara, Inst Computat Earth Syst Sci, Dept Geog, Santa Barbara, CA 93106 USA; NOAA, Natl Marine Fisheries Serv, Alaska Fisheries Sci Ctr, Natl Marine Mammal Lab, Seattle, WA 98115 USA</t>
  </si>
  <si>
    <t>University of North Carolina; University of North Carolina Wilmington; Montana State University System; Montana State University Bozeman; University of California System; University of California Santa Barbara; National Oceanic Atmospheric Admin (NOAA) - USA</t>
  </si>
  <si>
    <t>Univ N Carolina, Dept Biol Sci, 601 S Coll Rd, Wilmington, NC 28403 USA.</t>
  </si>
  <si>
    <t>10.1017/S0954102098000352</t>
  </si>
  <si>
    <t>WOS:000076015200006</t>
  </si>
  <si>
    <t>Barcena, MA; Gersonde, R; Ledesma, S; Fabres, J; Calafat, AM; Canals, M; Sierro, FJ; Flores, JA</t>
  </si>
  <si>
    <t>Record of Holocene glacial oscillations in Bransfield Basin as revealed by siliceous microfossil assemblages</t>
  </si>
  <si>
    <t>Bransfield Basin; Holocene; neoglacial events; palaeoceanography; siliceous microfossils; West Antarctica</t>
  </si>
  <si>
    <t>ANTARCTIC PENINSULA REGION; ATLANTIC SECTOR; SOUTHERN-OCEAN; DIATOM DISTRIBUTION; SURFACE SEDIMENTS; MARINE-SEDIMENTS; STRAIT; WATERS; SEA; STRATIGRAPHY</t>
  </si>
  <si>
    <t>Two gravity cores, Gebra-1 and Gebra-2 from the central and eastern basins of Bransfield Strait, West Antarctica, consist mainly of hemipelagic, laminated muds with black layers rich in sand-sized volcanic ash. Micropalaeontological (diatoms and radiolarians) and geochemical (organic and inorganic) analyses, together with radiometric dating (U/Th, C-14 and Pb-210) have been performed on both cores. AMS analyses on Total Organ ic Carbon yielded a C-14-age older than expected, 2810 yr sp for the core top of Gebra-1 and 2596 yr BP for Gebra-2. The downcore pattern of ages indicates a sedimentation rate of 130 cm ky(-1) for Gebra-1 and 160 cm kyr(-1) for Gebra-2. Pb-210 anomalies suggest the core top of Gebra-1 is present-day sediment. The diatom and radiolarian assemblages are related to the sequence of neoglacial events over the last three millennia. The recent significant reduction in Chaetoceros resting spores is interpreted as a reduction in palaeoproductivity. The progressive increase in sea-ice taxa for the last three millennia may indicate a cooling trend. Greater sea-ice coverage during the coldest neoglacial events in the Bransfield Basin, as well as in the Weddell Sea and Bellingshausen Sea, is documented by increases in sea-ice taxa and reductions in Thalassiosira antarctica/T. scotia resting spores, Fragilariopsis kerguelensis, the Lithomelissa group and the circumpolar group of radiolarians. For these periods, we postulate a restricted communication between the Weddell Sea, Bellingshausen Sea and Bransfield basin. The millenial-scale changes are overprinted by a high frequency cyclicity at about 200-300 yrs, which might be related to the 200-yr solar cycle.</t>
  </si>
  <si>
    <t>Univ Salamanca, Fac Ciencias, Dept Geol, E-37008 Salamanca, Spain; Alfred Wegener Inst Polar &amp; Marine Res, D-27568 Bremerhaven, Germany; Univ Barcelona, Dept Geol Dinam Geofis &amp; Paleontol, GRC Geociencies Marines, Barcelona 08071, Spain</t>
  </si>
  <si>
    <t>University of Salamanca; Helmholtz Association; Alfred Wegener Institute, Helmholtz Centre for Polar &amp; Marine Research; University of Barcelona</t>
  </si>
  <si>
    <t>Univ Salamanca, Fac Ciencias, Dept Geol, E-37008 Salamanca, Spain.</t>
  </si>
  <si>
    <t>Flores, José-Abel/D-4218-2009; Calafat, Antoni/J-5848-2017; Barcena, María Angeles/D-5839-2011; Sierro, Francisco/A-4714-2008; IPO, PAGES/JXY-7546-2024; Canals, Miquel/F-4922-2013; Ledesma-Mateo, Santiago/I-1618-2015</t>
  </si>
  <si>
    <t>Flores, José-Abel/0000-0003-1909-293X; Calafat, Antoni/0000-0001-7927-3105; Barcena, María Angeles/0000-0001-8261-2286; Sierro, Francisco/0000-0002-8647-456X; Canals, Miquel/0000-0001-5267-7601; Fabres, Joan/0000-0002-6523-8939; Ledesma-Mateo, Santiago/0000-0002-0262-8171</t>
  </si>
  <si>
    <t>10.1017/S0954102098000364</t>
  </si>
  <si>
    <t>WOS:000076015200007</t>
  </si>
  <si>
    <t>Pudsey, CJ; Camerlenghi, A</t>
  </si>
  <si>
    <t>Glacial-interglacial deposition on a sediment drift on the Pacific margin of the Antarctic Peninsula</t>
  </si>
  <si>
    <t>Antarctic Peninsula; continental rise; contourites; glacial-interglacial; ice-rafted debris; turbidity currents</t>
  </si>
  <si>
    <t>WEDDELL-SEA; ICE SHELVES; TURBIDITY CURRENTS; CONTINENTAL RISE; HYDRAULIC JUMPS; BOTTOM CURRENTS; SOUTHERN-OCEAN; LABRADOR-SEA; RETREAT; STREAM</t>
  </si>
  <si>
    <t>On the continental rise west of the Antarctic Peninsula there are nine large mounds interpreted as sediment drifts, separated by turbidity current channels. Drift 7 is 150 km long, 70 km wide and up to 700 m high and is asymmetric, with steep sides on the south-east (towards the continent) and south-west, and gentle slopes to north-west and north-east. Cores on the gentle sides of the drift show a cyclicity between brown, bioturbated, diatom-bearing mud with foraminifera and radiolarians, and grey, laminated, barren mud. Biostratigraphic evidence is consistent with a Late Quaternary age. Detailed lithostratigraphy and magnetic susceptibility data allow precise correlation over distances of tens of kilometres. On the basis of chemostratigraphy, the brown sediment is interpreted as interglacial (isotope stages 1 and 5) and the grey as glacial (stages 2-4 and 6). Sedimentation rates are 3.0-5.5 cm ka(-1). Cores on the steep sides of the drift recovered a condensed section with thinner cycles and hiatuses. Fine grain size, very poor sorting and the absence of a mode in the silt size range indicate deposition from suspension with only weak current activity. There is little evidence for cyclic changes in bottom current strength. Supply of sediment to the benthic nepheloid layer was by entrainment of mud from turbidity currents, and by settling of pelagic material (biogenic grains, IRD, sediment suspended in meltwater plumes). Cyclic changes in sediment supply include more biogenic supply in interglacials with less sea ice cover, more terrigenous supply from turbidites in glacials with ice sheets grounded to the shelf edge, and changes in IRD content.</t>
  </si>
  <si>
    <t>British Antarctic Survey, NERC, Madingley Rd,High Cross, Cambridge CB3 0ET, England; Osserv Geofis Sperimentale Trieste, I-34016 Trieste, Italy</t>
  </si>
  <si>
    <t>Camerlenghi, Angelo/C-8816-2011; IPO, PAGES/JXY-7546-2024; Camerlenghi, Angelo/O-1593-2013; Camerlenghi, Angelo/AAG-3852-2019</t>
  </si>
  <si>
    <t>Camerlenghi, Angelo/0000-0002-8128-9533; Camerlenghi, Angelo/0000-0002-8128-9533</t>
  </si>
  <si>
    <t>10.1017/S0954102098000376</t>
  </si>
  <si>
    <t>WOS:000076015200008</t>
  </si>
  <si>
    <t>Bentley, MJ; Anderson, JB</t>
  </si>
  <si>
    <t>Glacial and marine geological evidence for the ice sheet configuration in the Weddell Sea Antarctic Peninsula region during the Last Glacial Maximum</t>
  </si>
  <si>
    <t>Antarctic peninsula; glaciation; grounding line; Last Glacial Maximum; trimline; Weddell Sea</t>
  </si>
  <si>
    <t>LATE WISCONSIN; CONTINENTAL-SHELF; ROSS-SEA; HISTORY; SEDIMENTATION; DEPOSITS; RETREAT; ISLAND; AREA</t>
  </si>
  <si>
    <t>The Weddell Sea region arguably represents the largest unknown in quantifying the Antarctic contribution to the global water balance following the Last Glacial Maximum (LGM). This paper reviews the available onshore and offshore geological evidence constraining the volume of formerly expanded ice in the Weddell Sea embayment, focusing on the West Antarctic Ice Sheet (WAIS) and provides a preliminary reconstruction of the WAIS during the LGM. Dating control is generally poor and so our WAIS reconstruction is based on the assumption that the evidence of most recent ice sheet expansion dates to the LGM. Our reconstruction is intended to provide initial constraints with which glaciological models can be compared and shows grounded ice extent, flow directions, and ice surface elevations. Both marine and terrestrial geological evidence imply a substantial expansion of ice in the Weddell Sea embayment. Marine evidence shows that ice sheets were grounded in Crary Trough in the southern Weddell Sea and on the Antarctic Peninsula continental shelf during the LGM. Inland, the ice thickened by between 400 m (Ellsworth and Palmer Land) and 1900 m (Ellsworth Mountains). Ice core evidence suggests that the interior of the ice sheet remained the same or even thinned relative to present. The main unknowns now concern the exact location of the grounding line on some sectors of the shelf and the timing of ice sheet grounding and retreat. The limited radiocarbon data that exist on the eastern shelf indicates that the East Antarctic Ice Sheet retreated from the shelf prior to the LGM.</t>
  </si>
  <si>
    <t>Univ Edinburgh, Dept Geog, Drummond St, Edinburgh EH8 9XP, Midlothian, Scotland; Rice Univ, Dept Geol &amp; Geophys, Houston, TX 77251 USA</t>
  </si>
  <si>
    <t>University of Edinburgh; Rice University</t>
  </si>
  <si>
    <t>IPO, PAGES/JXY-7546-2024; Bentley, Michael J/F-7386-2011; Anderson, John/B-1011-2012</t>
  </si>
  <si>
    <t>Bentley, Michael J/0000-0002-2048-0019;</t>
  </si>
  <si>
    <t>10.1017/S0954102098000388</t>
  </si>
  <si>
    <t>WOS:000076015200009</t>
  </si>
  <si>
    <t>Ingolfsson, O; Hjort, C; Berkman, PA; Bjorck, S; Colhoun, E; Goodwin, ID; Hall, B; Hirakawa, K; Melles, M; Moller, P; Prentice, ML</t>
  </si>
  <si>
    <t>Antarctic glacial history since the Last Glacial Maximum: an overview of the record on land</t>
  </si>
  <si>
    <t>Antarctica; deglaciation; C-14 chronology; climate optimum; Holocene</t>
  </si>
  <si>
    <t>ADELIE PENGUIN ROOKERIES; SOUTH-SHETLAND-ISLANDS; KING-GEORGE-ISLAND; SEA-LEVEL CHANGES; FRESH-WATER LAKE; TERRA-NOVA BAY; EAST ANTARCTICA; VESTFOLD HILLS; ICE-SHEET; BUNGER HILLS</t>
  </si>
  <si>
    <t>This overview examines available circum-Antarctic glacial history archives on land, related to developments after the Last Glacial Maximum (LGM). It considers the glacial-stratigraphic and morphologic records and also biostratigraphical information from moss banks, lake sediments and penguin rookeries, with some reference to relevant glacial marine records. It is concluded that Holocene environmental development in Antarctica differed from that in the Northern Hemisphere. The initial deglaciation of the shelf areas surrounding Antarctica took place before 10000 C-14 yrs before present(sp), and was controlled by rising global sea level. This was followed by the deglaciation of some presently ice-free inner shelf and land areas between 10000 and 8000 yr sp. Continued deglaciation occurred gradually between 8000 yr sp and 5000 yr sp. Mid-Holocene glacial readvances are recorded from various sites around Antarctica. There are strong indications of a circum-Antarctic climate warmer than today 4700-2000 yr sp. The best dated records from the Antarctic Peninsula and coastal Victoria Land suggest climatic optimums there from 4000-3000 yr sp and 3600-2600 yr sp, respectively. Thereafter Neoglacial readvances are recorded. Relatively limited glacial expansions in Antarctica during the past few hundred years correlate with the Little Ice Age in the Northern Hemisphere.</t>
  </si>
  <si>
    <t>Univ Gothenburg, Ctr Earth Sci, Box 460, S-40530 Gothenburg, Sweden; Lund Univ, Dept Quaternary Geol, S-22362 Lund, Sweden; Ohio State Univ, Byrd Polar Res Ctr, Columbus, OH 43210 USA; Univ Copenhagen, Inst Geol, DK-1350 Copenhagen K, Denmark; Univ Newcastle, Dept Geog &amp; Environm Sci, Newcastle, NSW 2308, Australia; Antarctic CRC, Hobart, Tas 7001, Australia; SCAR Global Change Programme, Hobart, Tas 7001, Australia; Univ Maine, Dept Geol Sci, Orono, ME 04469 USA; Univ Maine, Inst Quaternary Studies, Orono, ME 04469 USA; Hokkaido Univ, Grad Sch Environm Earth Sci, Sapporo, Hokkaido 060, Japan; Res Unit Potsdam, Alfred Wegener Inst, D-14473 Potsdam, Germany; Univ New Hampshire, Inst Study Earth Oceans &amp; Space, Durham, NH 03824 USA</t>
  </si>
  <si>
    <t>University of Gothenburg; Lund University; University System of Ohio; Ohio State University; University of Copenhagen; University of Newcastle; University of Maine System; University of Maine Orono; University of Maine System; University of Maine Orono; Hokkaido University; Helmholtz Association; Alfred Wegener Institute, Helmholtz Centre for Polar &amp; Marine Research; University System Of New Hampshire; University of New Hampshire</t>
  </si>
  <si>
    <t>Univ Gothenburg, Ctr Earth Sci, Box 460, S-40530 Gothenburg, Sweden.</t>
  </si>
  <si>
    <t>IPO, PAGES/JXY-7546-2024; Melles, Martin/J-4070-2012; Möller, Per/AAJ-7963-2020; Ingolfsson, Olafur/L-8950-2015</t>
  </si>
  <si>
    <t>Melles, Martin/0000-0003-0977-9463; Möller, Per/0000-0001-5365-2668; Goodwin, Ian/0000-0001-8682-6409; Ingolfsson, Olafur/0000-0001-8143-2005</t>
  </si>
  <si>
    <t>10.1017/S095410209800039X</t>
  </si>
  <si>
    <t>WOS:000076015200010</t>
  </si>
  <si>
    <t>Berkman, PA; Andrews, JT; Bjorck, S; Colhoun, EA; Emslie, SD; Goodwin, ID; Hall, BL; Hart, CP; Hirakawa, K; Igarashi, A; Ingolfsson, O; Lopez-Martinez, J; Lyons, WB; Mabin, MCG; Quilty, PG; Taviani, M; Yoshida, Y</t>
  </si>
  <si>
    <t>Circum-Antarctic coastal environmental shifts during the Late Quaternary reflected by emerged marine deposits</t>
  </si>
  <si>
    <t>Antarctic; beaches; fossils; Holocene; Pleistocene; radiocarbon; sediments</t>
  </si>
  <si>
    <t>HOLOCENE GLACIAL HISTORY; JAMES-ROSS-ISLAND; TERRA-NOVA BAY; SEA-LEVEL CHANGES; ICE-SHEET; RADIOCARBON-DATES; LATE PLEISTOCENE; VESTFOLD HILLS; BUNGER HILLS; PENGUIN ROOKERIES</t>
  </si>
  <si>
    <t>This review assesses the circumpolar occurrence of emerged marine macrofossils and sediments from Antarctic coastal areas in relation to Late Quaternary climate changes. Radiocarbon ages of the macrofossils, which are interpreted in view of the complexities of the Antarctic marine radiocarbon reservoir and resolution of this dating technique, show a bimodal distribution. The data indicate that marine species inhabited coastal environments from at least 35000 to 20000 yr sp, during Marine Isotope Stage 3 when extensive iceberg calving created a 'meltwater lid' over the Southern Ocean. The general absence of these marine species from 20000 to 8500 yr sp coincides with the subsequent advance of the Antarctic ice sheets during the Last Glacial Maximum. Synchronous re-appearance of the Antarctic marine fossils in emerged beaches around the continent, all of wh ich have Holocene marine-limit elevations an order of magnitude lower than those in the Arctic, reflect minimal isostatic rebound as relative sea-level rise decelerated. Antarctic coastal marine habitat changes around the continent also coincided with increasing sea-ice extent and outlet glacial advances during the mid-Holocene. in view of the diverse environmental changes that occurred around the Earth during this period, it is suggested that Antarctic coastal areas were responding to a mid-Holocene climatic shift associated with the hydrological cycle. This synthesis of Late Quaternary emerged marine deposits demonstrates the application of evaluating circum-Antarctic phenomena from the glacial-terrestrial-marine transition zone.</t>
  </si>
  <si>
    <t>Ohio State Univ, Byrd Polar Res Ctr, 108 Scott Hall,1090 Carmack Rd, Columbus, OH 43210 USA; Univ Colorado, Inst Arctic &amp; Alpine Res, Boulder, CO 80309 USA; Univ Colorado, Dept Geol Sci, Boulder, CO 80309 USA; Univ Copenhagen, Inst Geol, DK-1350 Copenhagen, Denmark; Univ Newcastle, Dept Geog &amp; Environm Sci, Newcastle, NSW 2308, Australia; Univ N Carolina, Dept Biol Sci, Wilmington, NC 28403 USA; Antarctic CRC, Hobart, Tas 7001, Australia; Univ Maine, Dept Geol Sci, Orono, ME 04469 USA; Univ Maine, Inst Quaternary Studies, Orono, ME 04469 USA; Hokkaido Univ, Kita Ku, Sapporo, Hokkaido 060, Japan; Natl Inst Polar Res, Dept Polar Biol, Itabashi Ku, Tokyo 173, Japan; Univ Gothenburg, Ctr Earth Sci, S-41381 Gothenburg, Sweden; Univ Autonoma Madrid, Fac Ciencias, Dept Geol, E-28049 Madrid, Spain; Univ Alabama, Dept Geol, Tuscaloosa, AL 35487 USA; James Cook Univ N Queensland, Dept Trop Environm Studies &amp; Geog, Townsville, Qld 4811, Australia; Australian Antarctic Div, Kingston, Tas 7050, Australia; CNR, Inst Geol Marina, I-40129 Bologna, Italy; Rissho Univ, Dept Geog, Shinagawa Ku, Tokyo 141, Japan</t>
  </si>
  <si>
    <t>University System of Ohio; Ohio State University; University of Colorado System; University of Colorado Boulder; University of Colorado System; University of Colorado Boulder; University of Copenhagen; University of Newcastle; University of North Carolina; University of North Carolina Wilmington; University of Maine System; University of Maine Orono; University of Maine System; University of Maine Orono; Hokkaido University; Research Organization of Information &amp; Systems (ROIS); National Institute of Polar Research (NIPR) - Japan; University of Gothenburg; Autonomous University of Madrid; University of Alabama System; University of Alabama Tuscaloosa; James Cook University; Australian Antarctic Division; Consiglio Nazionale delle Ricerche (CNR)</t>
  </si>
  <si>
    <t>Ohio State Univ, Byrd Polar Res Ctr, 108 Scott Hall,1090 Carmack Rd, Columbus, OH 43210 USA.</t>
  </si>
  <si>
    <t>IPO, PAGES/JXY-7546-2024; Taviani, Marco/AAF-2168-2020; Lopez-Martinez, Jeronimo/C-5744-2011; Ingolfsson, Olafur/L-8950-2015</t>
  </si>
  <si>
    <t>Taviani, Marco/0000-0003-0414-4274; Lopez-Martinez, Jeronimo/0000-0002-1750-8287; Goodwin, Ian/0000-0001-8682-6409; Ingolfsson, Olafur/0000-0001-8143-2005</t>
  </si>
  <si>
    <t>10.1017/S0954102098000406</t>
  </si>
  <si>
    <t>WOS:000076015200011</t>
  </si>
  <si>
    <t>Convey, P</t>
  </si>
  <si>
    <t>Latitudinal variation in allocation to reproduction by the Antarctic oribatid mite, Alaskozetes antarcticus</t>
  </si>
  <si>
    <t>APPLIED SOIL ECOLOGY</t>
  </si>
  <si>
    <t>Alaskozetes antarcticus; Antarctic; egg; latitude; oribatid mite; reproductive allocation</t>
  </si>
  <si>
    <t>STRATEGIES; HABITAT</t>
  </si>
  <si>
    <t>The oribatid mite Alaskozetes antarcticus is found over a wide range of southern latitudes, between the cool temperate Falkland Islands (51-52 degrees S) and Alexander Island (71-72 degrees S). It is one of the largest terrestrial invertebrates found in Antarctica, where it dominates certain communities. Female A. antarcticus mature a single batch of eggs. Samples of A. antarcticus from seven sites in the maritime Antarctic and one in the sub-Antarctic, covering a latitudinal range of ca. 15 degrees (53-68 degrees S), were used to obtain measures of reproductive allocation, approximated by individual egg size and relative total egg to female body volume. Both measures suggest that mites from sub-Antarctic South Georgia showed considerably higher levels of reproductive allocation than those from any site in the maritime Antarctic. However, no consistent trends in any investment measure with increasing southerly latitude were found within the maritime Antarctic. These differences between the two Antarctic regions support, in general terms, the hypothesis that increased investment in survival traits in the harsher maritime Antarctic climate reduces the resources that can be committed to activities such as reproduction. (C) 1998 Elsevier Science B.V.</t>
  </si>
  <si>
    <t>British Antarctic Survey, NERC, High Cross,Madingley Rd, Cambridge CB3 0ET, England</t>
  </si>
  <si>
    <t>pcon@pcmail.nerc-bas.ac.uk</t>
  </si>
  <si>
    <t>0929-1393</t>
  </si>
  <si>
    <t>1873-0272</t>
  </si>
  <si>
    <t>APPL SOIL ECOL</t>
  </si>
  <si>
    <t>Appl. Soil Ecol.</t>
  </si>
  <si>
    <t>10.1016/S0929-1393(98)00060-2</t>
  </si>
  <si>
    <t>121VC</t>
  </si>
  <si>
    <t>WOS:000076034500016</t>
  </si>
  <si>
    <t>Godfrey, JJ; Clarkson, TS</t>
  </si>
  <si>
    <t>Air quality modelling in a stable polar environment - Ross Island, Antarctica</t>
  </si>
  <si>
    <t>Antarctic; boundary layer; meteorological modelling</t>
  </si>
  <si>
    <t>The CALMET meteorological model and its puff dispersion model CALPUFF have been used in a complex orographic and very stable polar environment to confirm observed plume trajectories under worst case conditions from Scott Base, Ross Island, Antarctica CALMET has been used to predict the meteorological fields of two characteristic low dispersion days and CALPUFF to predict the pollutant footprint and trajectory for each event. Field work in 1994 used constant density balloon flights to follow the trajectories of air parcels. A commonly occurring light wind condition develops when the prevailing southerly flow is locally deflected by the mountains of Ross Island. This deflection in the wind field produces a light northeasterly flow over Scott Base, which together with a light southeast flow can be associated with the low dispersion of effluent material. The relationship between the synoptic scale southerly flow and the local northeasterly at Scott Base is clearly shown by the diagnostic model and the plume derived by CALPUFF for the Scott Base emissions. The model output is shown to be realistic by the trajectories of constant density balloons. (C) 1988 Elsevier Science Ltd. All rights reserved.</t>
  </si>
  <si>
    <t>Natl Inst Water &amp; Atmospher Res Ltd, Wellington, New Zealand</t>
  </si>
  <si>
    <t>National Institute of Water &amp; Atmospheric Research (NIWA) - New Zealand</t>
  </si>
  <si>
    <t>Godfrey, JJ (corresponding author), Natl Inst Water &amp; Atmospher Res Ltd, POB 14901, Wellington, New Zealand.</t>
  </si>
  <si>
    <t>10.1016/S1352-2310(98)00031-4</t>
  </si>
  <si>
    <t>108MP</t>
  </si>
  <si>
    <t>WOS:000075270300003</t>
  </si>
  <si>
    <t>Smirnov, V; Radionov, VF; Savchenko, A; Pronin, AA; Kuusk, VV</t>
  </si>
  <si>
    <t>Variability in aerosol and air ion composition in the Arctic spring atmosphere</t>
  </si>
  <si>
    <t>ATMOSPHERIC RESEARCH</t>
  </si>
  <si>
    <t>aerosol; arctic; air ion composition</t>
  </si>
  <si>
    <t>POLLUTION; COMPONENTS</t>
  </si>
  <si>
    <t>Systematic measurement results of aerosol dispersity in the size range from 0.004 to 10 mu m in diameter, element composition, and the mobility spectrum of atmospheric ions in the range from 0.00032 to 5 cm(2)/V s in the surface atmospheric layer at Zigler Island (Western Arctic, Franz-Joseph Archipelago, March-April 1994) are presented. A comparison is made with data obtained using similar methods and instruments at Wrangel Island (Eastern Arctic, March-April 1985), in Antarctica (Molodezhnaya station, January-May 1983), over the Pamir mountains (Fedchenko glacier, September 1989) and in the vicinity of Moscow (Obninsk, April-May 1994). The form and variability of the aerosol size and air ion mobility spectra at different regions of the Arctic and Antarctic, as well as in mountain and forest steppe regions, do not differ significantly. The stratification of the atmospheric boundary layer and wind speed are the main factors of variability of the arctic aerosols and ions. Inflows of air from the mainland do not change these positions. (C) 1998 Elsevier Science B.V. All rights reserved.</t>
  </si>
  <si>
    <t>Fed Hydrometeorol Serv, Inst Expt Meteorol, Obninsk 249020, Russia; Arctic &amp; Antarct Res Inst, St Petersburg 199397, Russia</t>
  </si>
  <si>
    <t>Smirnov, V (corresponding author), Fed Hydrometeorol Serv, Inst Expt Meteorol, Obninsk 249020, Russia.</t>
  </si>
  <si>
    <t>Radionov, Vladimir F./O-3038-2017</t>
  </si>
  <si>
    <t>0169-8095</t>
  </si>
  <si>
    <t>ATMOS RES</t>
  </si>
  <si>
    <t>Atmos. Res.</t>
  </si>
  <si>
    <t>10.1016/S0169-8095(98)00071-4</t>
  </si>
  <si>
    <t>116JH</t>
  </si>
  <si>
    <t>WOS:000075720800004</t>
  </si>
  <si>
    <t>Gremmen, NJM; Chown, SL; Marshall, DJ</t>
  </si>
  <si>
    <t>Impact of the introduced grass Agrostis stolonifera on vegetation and soil fauna communities at Marion Island, sub-Antarctic</t>
  </si>
  <si>
    <t>BIOLOGICAL CONSERVATION</t>
  </si>
  <si>
    <t>sub-Antarctic; introduced plants; soil fauna; species richness; conservation</t>
  </si>
  <si>
    <t>NUTRIENT DYNAMICS; PLANT-COMMUNITIES; SPECIES RICHNESS; STANDING CROP; BIOLOGY; AFRICA</t>
  </si>
  <si>
    <t>The grass Agrostis stolonifera L. is the most successful introduced vascular plant at sub-Antarctic Marion Island. Since its accidental introduction, probably in the 1950s, it has spread over the northern half of the island, and presumably will eventually reach all parts of the island. It invades undisturbed native vegetation and reaches dominance in a range of habitats. It is most abundant on wet slopes and on river banks, where it replaces the rosaceous dwarf shrub Acaena magellanica communities by dense grassland. These communities show a reduction of 50% in the mean number of native plant species per sample plot, although more macroinvertebrate and more mite species were found where A. stolonifera was dominant. The invasion by A. stolonifera does not seem to pose an immediate threat to the survival of any of the native species on the island, but the changes induced in the drainage line communities significantly reduce the value of the island both from a conservation viewpoint and as a natural laboratory for fundamental ecological research. Therefore, it is important to keep Marion Island free of any further introductions. This is even more important for neighbouring Prince Edward Island, which, because of the negligible impact of aliens on this island, is of exceptional conservation value. (C) 1998 Elsevier Science Ltd. All rights reserved.</t>
  </si>
  <si>
    <t>NIOO CEMO, NL-4400 AC Yerseke, Netherlands; Bura Data Anal Ecol, NL-7981 AP Diever, Netherlands; Univ Pretoria, Dept Zool &amp; Entomol, ZA-0002 Pretoria, South Africa; Univ KwaZulu Natal, Dept Zool, ZA-4000 Durban, South Africa</t>
  </si>
  <si>
    <t>Royal Netherlands Academy of Arts &amp; Sciences; Netherlands Institute of Ecology (NIOO-KNAW); University of Pretoria; University of Kwazulu Natal</t>
  </si>
  <si>
    <t>NIOO CEMO, Postbus 140, NL-4400 AC Yerseke, Netherlands.</t>
  </si>
  <si>
    <t>gremmen@wxs.nl</t>
  </si>
  <si>
    <t>Marshall, David/0000-0003-3771-5950</t>
  </si>
  <si>
    <t>0006-3207</t>
  </si>
  <si>
    <t>1873-2917</t>
  </si>
  <si>
    <t>BIOL CONSERV</t>
  </si>
  <si>
    <t>Biol. Conserv.</t>
  </si>
  <si>
    <t>10.1016/S0006-3207(97)00178-X</t>
  </si>
  <si>
    <t>Biodiversity Conservation; Ecology; Environmental Sciences</t>
  </si>
  <si>
    <t>110XT</t>
  </si>
  <si>
    <t>WOS:000075407400002</t>
  </si>
  <si>
    <t>Skotnicki, ML; Ninham, JA; Selkirk, PM</t>
  </si>
  <si>
    <t>High levels of RAPD diversity in the moss Bryum argenteum in Australia, New Zealand, and Antarctica</t>
  </si>
  <si>
    <t>BRYOLOGIST</t>
  </si>
  <si>
    <t>MOLECULAR APPROACH; BRYOPHYTES; PHYLOGENY</t>
  </si>
  <si>
    <t>Bryum argenteum sensu lato, is a cosmopolitan moss found in many countries of the world, and is one of only a few moss species present in continental Antarctica. We have used RAPD (Random Amplified Polymorphic DNA) technology to investigate how this moss has colonized and spread in Antarctica, and whether it is genetically similar to other populations in nearby temperature land masses. Our modified RAPD technique gave reproducible results for single two mm moss shoots; within-clump variation was observed in most isolates, making the use of single shoots essential for these studies. A comparison of B. argenteum isolates from continental Antarctica, as well as from locations in Australia and New Zealand revealed that isolates from Australia and New Zealand are more similar to each other than either population is to the isolates from Antarctica. The level of genetic variation was as high within Antarctic clumps as in those from more temperate regions, even though sexual reproduction has not been observed in the Antarctic populations.</t>
  </si>
  <si>
    <t>Australian Natl Univ, Inst Adv Studies, Res Sch Biol Sci, Photobioenerget Unit, Canberra, ACT 2601, Australia; Univ Waikato, Sch Sci &amp; Technol, Dept Biol Sci, Hamilton, New Zealand; Macquarie Univ, Sch Biol Sci, Sydney, NSW 2109, Australia</t>
  </si>
  <si>
    <t>Australian National University; University of Waikato; Macquarie University</t>
  </si>
  <si>
    <t>Skotnicki, ML (corresponding author), Australian Natl Univ, Inst Adv Studies, Res Sch Biol Sci, Photobioenerget Unit, POB 475, Canberra, ACT 2601, Australia.</t>
  </si>
  <si>
    <t>skotnicki@rsbs.anu.edu.au; ninham@rsbs.anu.edu.au; pselkirk@rna.bio.mq.edu.au</t>
  </si>
  <si>
    <t>AMER BRYOLOGICAL LICHENOLOGICAL SOCIETY INC</t>
  </si>
  <si>
    <t>FAIRFAX</t>
  </si>
  <si>
    <t>C/O JAMES D LAWREY, GEORGE MASON UNIV, DEPT BIOLOGY MSN 3E1, FAIRFAX, VA 22030 USA</t>
  </si>
  <si>
    <t>0007-2745</t>
  </si>
  <si>
    <t>Bryologist</t>
  </si>
  <si>
    <t>123UQ</t>
  </si>
  <si>
    <t>WOS:000076143800007</t>
  </si>
  <si>
    <t>Cressie, N</t>
  </si>
  <si>
    <t>Transect-spacing design of ice cores on the Antarctic continent</t>
  </si>
  <si>
    <t>CANADIAN JOURNAL OF STATISTICS-REVUE CANADIENNE DE STATISTIQUE</t>
  </si>
  <si>
    <t>design-based inference; ionic species; kriging; mean squared prediction error; model-based inference; spatial prediction; variogram</t>
  </si>
  <si>
    <t>CLIMATE-CHANGE</t>
  </si>
  <si>
    <t>Chemical analyses of ice cores, drilled deep into an ice sheet, provide a historical record of the earth's atmosphere that dates back as far as 400,000-500,000 years. Although the atmosphere mixes quite well, it is recognized that spatial variability associated with ice-core locations should be allowed for. In this article, spatial statistical methodology is applied to the design question of finding the best spacing of ice-core locations on a partial transect of Antarctica.</t>
  </si>
  <si>
    <t>Iowa State Univ, Dept Stat, Ames, IA 50011 USA</t>
  </si>
  <si>
    <t>ncressie@iastate.edu</t>
  </si>
  <si>
    <t>Cressie, Noel/B-8858-2009</t>
  </si>
  <si>
    <t>Cressie, Noel/0000-0002-0274-8050</t>
  </si>
  <si>
    <t>0319-5724</t>
  </si>
  <si>
    <t>1708-945X</t>
  </si>
  <si>
    <t>CAN J STAT</t>
  </si>
  <si>
    <t>Can. J. Stat.-Rev. Can. Stat.</t>
  </si>
  <si>
    <t>10.2307/3315765</t>
  </si>
  <si>
    <t>Statistics &amp; Probability</t>
  </si>
  <si>
    <t>125GQ</t>
  </si>
  <si>
    <t>WOS:000076229400004</t>
  </si>
  <si>
    <t>Rao, CP; Goodwin, ID; Gibson, JAE</t>
  </si>
  <si>
    <t>Rao, C. Prasada; Goodwin, I. D.; Gibson, J. A. E.</t>
  </si>
  <si>
    <t>Shelf, coastal and subglacial polar carbonates, East Antarctica</t>
  </si>
  <si>
    <t>CARBONATES AND EVAPORITES</t>
  </si>
  <si>
    <t>Calcite; Foraminifera; Aragonite; Ooids; Benthic Foraminifera</t>
  </si>
  <si>
    <t>VESTFOLD-HILLS; ISOTOPE COMPOSITION; BUDD COAST; ICE-SHEET; OXYGEN; TASMANIA; TEMPERATURE; LIMESTONE; CALCITE; C-13</t>
  </si>
  <si>
    <t>Modem and Pleistocene polar carbonates occur in East Antarctica in shelf, coast, lakes and marginal to underneath glaciers, associated mainly with glacigene muds, boulder tills and diamictites. Shelf carbonates (in Prydz Bay) are calcitic and unlithified, and consist mainly of sponges, bryozoans, echinoderms, bivalves and diatoms. Coastal carbonates (in the Vestfold Hills) are calcitic and contain faunal assemblages similar to those on the shelf, with calcareous algae, microbial mats, minor peloids and cements. Lake carbonates are aragonitic micrites and peloids. Carbonates close to glaciers (the Loken Moraines) are aragonitic and contain abundant ooids with intragranular fibrous cements. Subglacial carbonates are aragonitic micrites and peloids. Carbonate mineralogy changes from mainly low-Mg calcite in marine shelf to aragonite in brackish to freshwater dominated inland regions. Antarctic carbonate delta(18)O values (4.5 to -47 parts per thousand PDB) vary markedly due to frigid temperatures (0 to -2 degrees C) and salinity (0 to 35 parts per thousand) changes, as a result of meltwater dilution from adjacent glaciers. Their delta(13)C values (-9 to 8 parts per thousand PDB) also vary markedly due to exposure to atmospheric CO2, the circulation of water masses and reaction of carbonate with CO2 trapped in glacial ice. The regional distribution of carbonate sediments and their sedimentology, mineralogy, and delta(18)O and delta(13)C compositions indicate three types of glacial environments of formation. The first corresponds to a glacial stage and the formation of subglacial and bank carbonates, when the Antarctic ice sheet expanded onto the inner shelves. The second corresponds to interglacial stages and the formation of ice-marginal carbonates, during the retreat of the ice sheet from the inner shelf grounding line and accompanying the discharge of appreciable meltwater. The third corresponds to an interglacial oasis and the formation of coastal carbonates, proximal to distal lacustrine carbonates, and distal subglacial carbonates.</t>
  </si>
  <si>
    <t>[Rao, C. Prasada] Univ Tasmania, Dept Geol, GPO Box 252-79, Hobart, Tas 7001, Australia; [Goodwin, I. D.] Univ Tasmania, Antarctic CRC, Hobart, Tas 7001, Australia; [Gibson, J. A. E.] Univ Tasmania, Inst Antarctic &amp; Southern Ocean Studies, Hobart, Tas 7001, Australia</t>
  </si>
  <si>
    <t>University of Tasmania; University of Tasmania; University of Tasmania</t>
  </si>
  <si>
    <t>Rao, CP (corresponding author), Univ Tasmania, Dept Geol, GPO Box 252-79, Hobart, Tas 7001, Australia.</t>
  </si>
  <si>
    <t>Australian Research Committee; ANARE</t>
  </si>
  <si>
    <t>Australian Research Committee(Australian Research Council); ANARE</t>
  </si>
  <si>
    <t>We are grateful to the Australian Research Committee for providing financial assistance. ANARE provided field and financial support. We very much appreciate the valuable comments by reviewer S.T. Mazzullo that improved the manuscript We are thankful to Z.Z. Amini for petrographic counts of biota from Prydz Bay, M Powerand C. Cookefor isotope analysis, the Resources of Tasmania for X-my diffraction of samples, and Debbie Harding for drafting illustrations.</t>
  </si>
  <si>
    <t>ONE NEW YORK PLAZA, SUITE 4600, NEW YORK, NY, UNITED STATES</t>
  </si>
  <si>
    <t>0891-2556</t>
  </si>
  <si>
    <t>1878-5212</t>
  </si>
  <si>
    <t>CARBONATE EVAPORITE</t>
  </si>
  <si>
    <t>Carbonates Evaporites</t>
  </si>
  <si>
    <t>10.1007/BF03176591</t>
  </si>
  <si>
    <t>VI7TL</t>
  </si>
  <si>
    <t>WOS:000513002100007</t>
  </si>
  <si>
    <t>Urhahn, T; Ballschmiter, K</t>
  </si>
  <si>
    <t>Chemistry of the biosynthesis of halogenated methanes: C1-organohalogens as pre-industrial chemical stressors in the environment?</t>
  </si>
  <si>
    <t>biohalogenation; chloroperoxidase; haloform reaction; sulphur-haloform reaction; halide methylation; halogenated methanes; tetrachloromethane; halogenated nitriles</t>
  </si>
  <si>
    <t>SOUTH POLAR SEA; PHANEROCHAETE-CHRYSOSPORIUM; PHELLINUS-POMACEUS; ORGANIC-COMPOUNDS; EUCHEUMA-DENTICULATUM; CARBON-TETRACHLORIDE; ANTARCTIC ATMOSPHERE; VERATRYL ALCOHOL; METHYL-CHLORIDE; ATLANTIC-OCEAN</t>
  </si>
  <si>
    <t>We have chemical evidence that in the biosynthesis of the halomethanes C:K(4-n)X(n) (n=1-4) three different pathways of biogenic formation have to be distinguished. The formation of methyl chloride, methyl bromide, and methyl iodide, respectively, has to be considered as a methylation of the respective halide ions. The dihalo- and trihalomethanes are formed via the haloform and/or via the sulfo-haloform reaction. The possible formation of tetrahalomethanes may involve a radical mechanism. Methionine methyl sulfonium chloride used as substrate in the incubation together with chloroperoxidase (CPO) and H(2)O(2) gave high yields of monohalomethanes only. We were able to show that next to the CPO/H(2)O(2) driven haloform reaction of carbonyl activated methyl groups also methyl-sulphur compounds - e.g. dimethylsulfoxide, dimethylsulfone, and the sulphur amino acid methionine - can act as precursors for the biosynthesis of di- and trihalogenated methanes. Moreover, there is some but not yet very conclusive evidence for an enzymatic production of tetrahalogenated methanes. In our experiments with chloroperoxidase involving amino acids and complex natural peptide based substrates, dihalogenated acetonitriles and several other volatile halogenated but yet unidentified compounds were formed. On the basis of these experiments we like to suggest that biosynthesis of halogenated nitriles occurs in general and therefore a natural atmospheric background should exist for halogenated acetonitriles and halogenated acetaldehydes, respectively. (C) 1998 Elsevier Science Ltd. All rights reserved.</t>
  </si>
  <si>
    <t>Univ Ulm, Dept Analyt &amp; Environm Chem, D-89081 Ulm, Germany; Ctr Technol Assessment Baden Wurttemberg, D-70565 Stuttgart, Germany</t>
  </si>
  <si>
    <t>Ulm University</t>
  </si>
  <si>
    <t>Urhahn, T (corresponding author), Univ Ulm, Dept Analyt &amp; Environm Chem, Albert Einstein Allee 11, D-89081 Ulm, Germany.</t>
  </si>
  <si>
    <t>10.1016/S0045-6535(98)00100-3</t>
  </si>
  <si>
    <t>108XB</t>
  </si>
  <si>
    <t>WOS:000075290100001</t>
  </si>
  <si>
    <t>Zhang, XH; Oberhuber, JM; Bacher, A; Roeckner, E</t>
  </si>
  <si>
    <t>Interpretation of interbasin exchange in an isopycnal ocean model</t>
  </si>
  <si>
    <t>CLIMATE DYNAMICS</t>
  </si>
  <si>
    <t>GENERAL-CIRCULATION MODEL; SCALE WATER MASSES; WORLD OCEAN; ATLANTIC CIRCULATION; SOUTH-ATLANTIC; THERMOHALINE CIRCULATION; SIMULATION; THERMOCLINE; FLUXES; HEAT</t>
  </si>
  <si>
    <t>This work concerns an analysis of inter-basin and inter-layer exchanges in the component ocean part of the coupled ECHAM4/OPYC3 general circulation model, aimed at documenting the simulation of North Atlantic Deep Water (NADW) and related thermohaline circulations in the Indian and Pacific Oceans. The modeled NADW is formed mainly in the Greenland-Iceland-Norwegian Seas through a composite effect of deep convection and downward cross-isopycnal transport. The modeled deep-layer outflow of NADW can reach 16 Sv near 30 degrees S in the South Atlantic, with the corresponding upper-layer return flow mainly coming from the cold water path through Drake Passage. Less than 4 Sv of the Agulhas leakage water contributes to the replacement of NADW along the warm water path. In the South Atlantic Ocean, the model shows that some intermediate isopycnal layers with potential densities ranging between 27.0 and 27.5 are the major water source that compensate the NADW return flow and enhance the Circumpolar Deep Water (CDW) flowing from the Atlantic into Indian Ocean. The modeled thermohaline circulations in the Indian and Pacific Oceans indicate that the Indian Ocean may play the major role in converting deep water into intermediate water. About 16 Sv of the CDW-originating deep water enters the Indian Ocean northward of 31 degrees S, of which more than 13 Sv upwell mainly near the continental boundaries of Africa, South Asia and Australia through inter-layer exchanges and return to the Antarctic Circumpolar Current (ACC) as intermediate-layer water. As a contrast, only 4 Sv of Pacific intermediate water is connected to upwelling flow southward across 31 degrees S while the magnitude of northward deep flow across 31 degrees S in the Pacific Ocean is significantly greater than that in the Indian Ocean. The model suggests that a large portion of the deep waters entering the Pacific Ocean (about 14 Sv) upwells continually into some upper layers through the thermocline, and becomes the source of the Indonesian throughflow. Uncertainties in these results may be related to the incomplete adjustment of the model's isopycnal layers and the sensitivity of the Indonesian throughflow to the model's geography and topography.</t>
  </si>
  <si>
    <t>Max Planck Inst Meteorol, D-20146 Hamburg, Germany</t>
  </si>
  <si>
    <t>Zhang, XH (corresponding author), Chinese Acad Sci, State Key Lab Numer Modelling Atmospher Sci &amp; Geo, Inst Atmospher Phys, POB 2718, Beijing 100080, Peoples R China.</t>
  </si>
  <si>
    <t>0930-7575</t>
  </si>
  <si>
    <t>CLIM DYNAM</t>
  </si>
  <si>
    <t>Clim. Dyn.</t>
  </si>
  <si>
    <t>10.1007/s003820050251</t>
  </si>
  <si>
    <t>118UG</t>
  </si>
  <si>
    <t>WOS:000075858300003</t>
  </si>
  <si>
    <t>Franklin, CE</t>
  </si>
  <si>
    <t>Studies of evolutionary temperature adaptation: Muscle function and locomotor performance in Antarctic fish</t>
  </si>
  <si>
    <t>CLINICAL AND EXPERIMENTAL PHARMACOLOGY AND PHYSIOLOGY</t>
  </si>
  <si>
    <t>fish; locomotion; metabolism; muscle; temperature</t>
  </si>
  <si>
    <t>COLD ADAPTATION; POWER OUTPUT; CONTRACTILE PROPERTIES; MARINE FISH; FAST-STARTS; FIBERS; BORCHGREVINKI; PHYSIOLOGY; RESPONSES; PROTEINS</t>
  </si>
  <si>
    <t>1, Studies of evolutionary temperature adaptation of muscle and locomotor performance in fish are reviewed with a focus on the Antarctic fauna living at subzero temperatures. 2. Only limited data are available to compare the sustained and burst swimming kinematics and performance of Antarctic, temperate and tropical species. Available data indicate that low temperatures limit maximum swimming performance and this is especially evident in fish larvae. 3, In a recent study, muscle performance in the Antarctic rock cod Notothenia coriiceps at 0 degrees C was found to be sufficient to produce maximum velocities during burst swimming that were similar to those seen in the sculpin Myoxocephalus scorpius at 10 degrees C, indicating temperature compensation of muscle and locomotor performance in the Antarctic fish. However, at 15 degrees C, sculpin produce maximum swimming velocities greater than N, coriiceps at 0 degrees C, 4, It is recommended that strict hypothesis-driven investigations using ecologically relevant measures of performance are undertaken to study temperature adaptation in Antarctic fish, Recent detailed phylogenetic analyses of the Antarctic fish fauna and their temperate relatives will allow a stronger experimental approach by helping to separate what is due to adaptation to the cold and what is due to phylogeny alone.</t>
  </si>
  <si>
    <t>Univ Queensland, Dept Zool, Brisbane, Qld 4072, Australia</t>
  </si>
  <si>
    <t>Univ Queensland, Dept Zool, Brisbane, Qld 4072, Australia.</t>
  </si>
  <si>
    <t>cfranklin@zoology.uq.edu.au</t>
  </si>
  <si>
    <t>Franklin, Craig/G-7343-2012</t>
  </si>
  <si>
    <t>Franklin, Craig/0000-0003-1315-3797</t>
  </si>
  <si>
    <t>0305-1870</t>
  </si>
  <si>
    <t>1440-1681</t>
  </si>
  <si>
    <t>CLIN EXP PHARMACOL P</t>
  </si>
  <si>
    <t>Clin. Exp. Pharmacol. Physiol.</t>
  </si>
  <si>
    <t>10.1111/j.1440-1681.1998.tb02291.x</t>
  </si>
  <si>
    <t>Pharmacology &amp; Pharmacy; Physiology</t>
  </si>
  <si>
    <t>115WP</t>
  </si>
  <si>
    <t>WOS:000075689600021</t>
  </si>
  <si>
    <t>Block, W; Worland, MR; Bale, J</t>
  </si>
  <si>
    <t>Respiratory responses to chilling and freezing in two sub-Antarctic insects</t>
  </si>
  <si>
    <t>CRYOBIOLOGY</t>
  </si>
  <si>
    <t>respiration; chilling; freezing; Coleoptera; sub-Antarctic</t>
  </si>
  <si>
    <t>SOUTH-GEORGIA; BEETLES; PERIMYLOPIDAE; METABOLISM; ISLAND</t>
  </si>
  <si>
    <t>The effects of chilling (to temperatures above the supercooling point, SCP) and freezing on respiration of adults and larvae of two coleopterans living on sub-Antarctic South Georgia (54 degrees S, 37 degrees W), Hydromedion sparsutum and Pevimylops antarcticus (Coleoptera, Perimylopidae), were quantified. Respiration rates of individual insects (live weights, 11-21 mg) were measured at 10 degrees C prior to chilling (-4 degrees C) or freezing (SCP range -3.8 to -5.3 degrees C) and posttreatment. The species possess a small amount of freeze tolerance in both adults and larvae. Chilling had no significant effects on respiration rates of P. antarcticus and H. sparsutum, although mean levels were depressed by 6-15%. Freezing produced considerable enhancement of respiratory activity. Mean values increased postfreezing in larvae (+34%) of H. sparsutum and in both larvae (+44%) (P &lt; 0.01) and adults (77%) (P &lt; 0.05) of P. antarcticus. Chilling and freezing had different effects on respiration rates and P. antarcticus showed the greatest metabolic response to freezing. (C) 1998 Academic Press.</t>
  </si>
  <si>
    <t>0011-2240</t>
  </si>
  <si>
    <t>Cryobiology</t>
  </si>
  <si>
    <t>10.1006/cryo.1998.2110</t>
  </si>
  <si>
    <t>Biology; Physiology</t>
  </si>
  <si>
    <t>Life Sciences &amp; Biomedicine - Other Topics; Physiology</t>
  </si>
  <si>
    <t>128CY</t>
  </si>
  <si>
    <t>WOS:000076388700008</t>
  </si>
  <si>
    <t>Gersonde, R; Spiess, V; Flores, JA; Hagen, RA; Kuhn, G</t>
  </si>
  <si>
    <t>The sediments of Gunnerus Ridge and Kainan Maru Seamount (Indian sector of Southern Ocean)</t>
  </si>
  <si>
    <t>DRILLING PROJECT LEG-71; SOUTHWEST ATLANTIC; DEEP; LATITUDES; NEOGENE; DIATOMS; EOCENE</t>
  </si>
  <si>
    <t>Combined bathymetric, sediment echosounding and sediment coring data from two expeditions of the RV Polarstern (ANT-VIII/6, ANT-XI/4) provides the first more comprehensive overview of Cenozoic sedimentation in the remote area of the Gunnerus Ridge and Kainan Maru Seamount off the Antarctic Continent (Indian sector of Southern Ocean). The Neogene and Oligocene sediment sequences were affected by at least three generations of large scale slide and slump events, which occurred around the early/late Pliocene and the early/late Oligocene boundaries and during an earlier time period in the Paleogene. Possible triggers for slumping events might have been changes in the circulation pattern, changes in sea level, or earthquakes. Changes in water mass circulation could have affected the distribution of sediments since the onset of the Neogene in conjunction with the establishment of the Antarctic Circumpolar Current (ACC). The recovered sediments are predominantly biosiliceous mud and ooze: except for early Oligocene and Quaternary sequences, which contain calcareous nannofossils and foraminifera, respectively. The sediments have been deposited at low sedimentation rates ranging from a few millimeters to centimeters per 1000 yr. (C) 1998 Elsevier Science Ltd. All rights reserved.</t>
  </si>
  <si>
    <t>Alfred Wegener Inst Polar &amp; Marine Res, D-27515 Bremerhaven, Germany; Univ Bremen, Fachbereich Geowissensch 5, D-28334 Bremen, Germany; Univ Salamanca, Dept Geol, S-37008 Salamanca, Spain; USN, Res Lab, Washington, DC 20375 USA</t>
  </si>
  <si>
    <t>Helmholtz Association; Alfred Wegener Institute, Helmholtz Centre for Polar &amp; Marine Research; University of Bremen; University of Salamanca; United States Department of Defense; United States Navy; Naval Research Laboratory</t>
  </si>
  <si>
    <t>Gersonde, R (corresponding author), Alfred Wegener Inst Polar &amp; Marine Res, Postbox 120161, D-27515 Bremerhaven, Germany.</t>
  </si>
  <si>
    <t>Flores, José-Abel/D-4218-2009; Spiess, Volkhard/E-4376-2010</t>
  </si>
  <si>
    <t>Flores, José-Abel/0000-0003-1909-293X; Spiess, Volkhard/0000-0001-5019-5844; Kuhn, Gerhard/0000-0001-6069-7485</t>
  </si>
  <si>
    <t>10.1016/S0967-0637(98)00024-7</t>
  </si>
  <si>
    <t>131NH</t>
  </si>
  <si>
    <t>WOS:000076581800006</t>
  </si>
  <si>
    <t>Brierley, AS; Brandon, MA; Watkins, JL</t>
  </si>
  <si>
    <t>An assessment of the utility of an acoustic Doppler current profiler for biomass estimation</t>
  </si>
  <si>
    <t>KRILL EUPHAUSIA-SUPERBA; ANTARCTIC KRILL; SOUND-SCATTERING; SOUTH GEORGIA; BACKSCATTERING STRENGTH; ZOOPLANKTON ABUNDANCE; TARGET STRENGTH; 120 KHZ; VARIABILITY; CYLINDERS</t>
  </si>
  <si>
    <t>Acoustic Doppler current profilers (ADCPs) are being used increasingly to derive estimates of zooplankton and micronekton abundance. The absence of a practical means for users to perform ADCP calibration, however, makes the quantitative value of this approach questionable. In an attempt to evaluate ADCP-derived volume backscattering strength (S-c) data, and hence to assess the utility of such measurements for biomass estimation, a regularly calibrated Simrad EK500 scientific echo-sounder (operating at 38, 120 and 200 kHz) and an RDI narrowband ADCP (153.6 kHz) were similarly configured and run in synchrony on a transect in the Southern Ocean. Data were collected by both instruments from congruent depth (4 m) and time (2 min) bins in order to allow direct comparison of numerous discrete values without the need for further signal averaging. Echoes were recorded from the Antarctic krill, Euphausia super ba, in deep-ocean and on-shelf locations during day and night. ADCP-derived volume back scattering strength data from shallow, evenly distributed krill targets were well correlated with equivalent data from the EK500 (r(2) &gt; 0.98), and the offsets between instruments conformed to those predicted for their respective operating frequencies by a theoretical model of sound scattering by krill (H-0: S-upsilon 153.6 kHz = S-upsilon 120 kHz + 2.3 dB, t(0.05(2),155) = 1.98, t = 0.74, P = 0.46). Data from deeper, more irregularly distributed targets differed significantly (P &lt; 0.001). We conclude that under some ideal, but probably rare, circumstances data from the ADCP can be used to derive biomass estimates. The numerous uncertainties surrounding ADCP calibration and the current practical impossibility for users to monitor system performance should, however, preclude these instruments from being used as a matter of course to determine abundance estimates, a task that we believe should remain firmly within the domain of a well calibrated scientific echo sounder. (C) 1998 Elsevier Science Ltd. All rights reserved.</t>
  </si>
  <si>
    <t>Brierley, AS (corresponding author), British Antarctic Survey, NERC, High Cross,Madingley Rd, Cambridge CB3 0ET, England.</t>
  </si>
  <si>
    <t>a.brierley@bas.ac.uk</t>
  </si>
  <si>
    <t>Brandon, Mark A/A-5804-2010; Brierley, Andrew/G-8019-2011</t>
  </si>
  <si>
    <t>10.1016/S0967-0637(98)00012-0</t>
  </si>
  <si>
    <t>WOS:000076581800008</t>
  </si>
  <si>
    <t>Pütz, K; Wilson, RP; Charrassin, JB; Raclot, T; Lage, J; Le Maho, Y; Kierspel, MAM; Culik, BM; Adelung, D</t>
  </si>
  <si>
    <t>Foraging strategy of King Penguins (Aptenodytes patagonicus) during summer at the Crozet Islands</t>
  </si>
  <si>
    <t>Aptenodytes patagonicus; diving activity; feeding behavior; food mass; foraging range; foraging strategy; global location sensor; King Penguin; multiple-channel recorders; stomach temperature archival units; swim speed</t>
  </si>
  <si>
    <t>BREEDING ADELIE PENGUINS; TEMPERATURE TELEMETRY; DIVING BEHAVIOR; MARINE ENDOTHERMS; DIVE DEPTH; ARCHIPELAGO; ENERGETICS; CHICKS; ANTARCTICA; SEABIRDS</t>
  </si>
  <si>
    <t>The foraging ecology of King Penguins (Aptenodytes paragonicus) at Possession Island, Crozet Archipelago, was studied between January and March 1993 and between February and March 1994. Diving activity and position of the birds were determined via externally attached logging units. Feeding behavior was detected using stomach temperature sensors. All calculated positions of the birds occurred south of Possession Island. The area most frequented was situated 250 km south of the island (48.5 degrees S), where birds stayed for 40 h during a foraging trip, on average. The overall swim speed differed with time into the foraging trip, being lowest during the central part and highest (10 km/h) during the last night at sea, when birds were returning to the colony. Diving activities showed a clear diurnal pattern, with maximum dive depth being dependent on ambient light levels. During the night, only shallow dives &lt;30 m were made, whereas deep dives occurred only during daylight. Preferred dive depths during deep diving ranged from 100 to 200 m. Maximum dive depth was 323 m, and maximum dive duration was 9.2 min. Vertical velocity (rate of change of depth) and dive duration were significantly correlated with increasing dive depth. Time spent at depth changed with time into the foraging trip, with most time being spent in deep water strata during the central phase, whereas predominately shallow dives were executed at the beginning and at the end of the foraging trips. Feeding success was closely linked to time of day, dive depth, and time into the foraging trip. Overall, &gt;85% of the feeding events occurred during daylight and at twilight. Mean food mass ingested was calculated to be similar to 2350 g/d, with the highest amounts ingested during the central and penultimate days of the foraging trip. Foraging success (grams ingested per unit time underwater) was also highest (&gt;370 g/h) at this time. The relationships between foraging strategy, inter- and intraspecific competition, and King Penguin body mass are discussed.</t>
  </si>
  <si>
    <t>Inst Meereskunde, D-24105 Kiel, Germany; CNRS, Ctr Ecol &amp; Physiol Energet, F-67087 Strasbourg, France</t>
  </si>
  <si>
    <t>Centre National de la Recherche Scientifique (CNRS); Universites de Strasbourg Etablissements Associes; Universite de Strasbourg</t>
  </si>
  <si>
    <t>Antarctic Res Trust, POB 685, Stanley, Falkland Island, England.</t>
  </si>
  <si>
    <t>Puetz, Klemens/0000-0003-1375-2669</t>
  </si>
  <si>
    <t>10.2307/176698</t>
  </si>
  <si>
    <t>116YM</t>
  </si>
  <si>
    <t>WOS:000075752700006</t>
  </si>
  <si>
    <t>Leifert, H</t>
  </si>
  <si>
    <t>Scientists to report on vast Antarctic ice sheet, seek clues to its future</t>
  </si>
  <si>
    <t>125KP</t>
  </si>
  <si>
    <t>WOS:000076237000010</t>
  </si>
  <si>
    <t>Forster, ME; Forster, AH; Davison, W</t>
  </si>
  <si>
    <t>Effects of serotonin, adrenaline and other vasoactive drugs on the branchial blood vessels of the Antarctic fish Pagothenia borchgrevinki</t>
  </si>
  <si>
    <t>acetylcholine; blood vessels; catecholamines; gills; serotonin; teleost</t>
  </si>
  <si>
    <t>COD GADUS-MORHUA; ATLANTIC COD; INNERVATION; TROUT; BERNACCHII; RESPONSES; FILAMENT; TELEOST; GILLS</t>
  </si>
  <si>
    <t>Myography and an isolated, perfused gill arch preparation were used to investigate the actions of drugs on the gill vasculature of an Antarctic teleost fish, Pagothenia borchgrevinki. Serotonin produced a dose-dependent vasoconstriction of the afferent branchial arteries, the gill arch and the efferent branchial arteries, and was the most potent vasoconstrictor tested. Acetylcholine, at concentrations exceeding I x 10(-6)M, vasoconstricted the gill arch, but had a negligible effect on the branchial arteries. The responses to adrenaline, with and without the beta-adrenergic blocking drug, sotalol and the effects of the beta-adrenergic agonist drug isoprenaline indicated the presence of both alpha-adrenergic and beta-adrenergic receptors in the gill vasculature, with the vasoconstrictory action of the former predominating in the efferent vasculature. Angiotensin II was without effect in either preparation. The results are a further demonstration of the dominance of vasoconstrictory responses in the control of gill vascular resistance in P. borchgrevinki: which has been associated previously with the sub-zero temperatures at which the animals are found.</t>
  </si>
  <si>
    <t>Univ Canterbury, Dept Zool, Christchurch, New Zealand</t>
  </si>
  <si>
    <t>University of Canterbury</t>
  </si>
  <si>
    <t>Forster, ME (corresponding author), Univ Canterbury, Dept Zool, Private Bag 4800, Christchurch, New Zealand.</t>
  </si>
  <si>
    <t>m.forster@zoo.canterbury.ac.nz</t>
  </si>
  <si>
    <t>10.1023/A:1007739015634</t>
  </si>
  <si>
    <t>127CB</t>
  </si>
  <si>
    <t>WOS:000076332000001</t>
  </si>
  <si>
    <t>Murphy, EJ; Watkins, JL; Reid, K; Trathan, PN; Everson, I; Croxall, JP; Priddle, J; Brandon, MA; Brierley, AS; Hofmann, E</t>
  </si>
  <si>
    <t>Interannual variability of the South Georgia marine ecosystem: Biological and physical sources of variation in the abundance of krill</t>
  </si>
  <si>
    <t>FISHERIES OCEANOGRAPHY</t>
  </si>
  <si>
    <t>ecosystem; interannual variability; krill; models; Southern Ocean; transport</t>
  </si>
  <si>
    <t>ANTARCTIC PENGUIN POPULATIONS; SEA-ICE EXTENT; MACKEREL ICEFISH; TEMPERATURE; DIET</t>
  </si>
  <si>
    <t>Interannual variability is a characteristic feature of the Southern Ocean ecosystem, yet the relative roles of biological and physical processes in generating these fluctuations are unknown. There is now extensive evidence that there are years when there is a very low abundance of Antarctic krill (Euphausia superba) in the South Georgia area, and that this variation affects much of the ecosystem, with the most obvious impacts on survival and breeding success of some of the major predators on krill. The open nature of the South Georgia ecosystem means this variability has large-scale relevance, but even though there are unique time series of data available, information on some key processes is limited. Fluctuations in year-class success in parts, or all, of the krill population across the Scotia Sea can generate large changes in the available biomass. The ocean transport pathways maintain the large-scale ecosystem structure by moving krill over large distances to areas where they are available to predator colonies. This large-scale physical system shows strong spatial and temporal coherence in the patterns of the interannual and subdecadal variability. This physical variability affects both the population dynamics of krill and the transport pathways, emphasizing that both the causes and the consequences of events at South Georgia are part of much larger-scale processes.</t>
  </si>
  <si>
    <t>British Antarctic Survey, Cambridge CB3 0ET, England; Old Dominion Univ, Ctr Coastal Phys Oceanog, Norfolk, VA 23529 USA</t>
  </si>
  <si>
    <t>UK Research &amp; Innovation (UKRI); Natural Environment Research Council (NERC); NERC British Antarctic Survey; Old Dominion University</t>
  </si>
  <si>
    <t>murphy, eugene/GZL-1620-2022; Brandon, Mark A/A-5804-2010; Brierley, Andrew/G-8019-2011</t>
  </si>
  <si>
    <t>Brandon, Mark/0000-0002-7779-0958; Brierley, Andrew/0000-0002-6438-6892</t>
  </si>
  <si>
    <t>1054-6006</t>
  </si>
  <si>
    <t>1365-2419</t>
  </si>
  <si>
    <t>FISH OCEANOGR</t>
  </si>
  <si>
    <t>Fish Oceanogr.</t>
  </si>
  <si>
    <t>SEP-DEC</t>
  </si>
  <si>
    <t>10.1046/j.1365-2419.1998.00081.x</t>
  </si>
  <si>
    <t>Fisheries; Oceanography</t>
  </si>
  <si>
    <t>154AF</t>
  </si>
  <si>
    <t>WOS:000077865300025</t>
  </si>
  <si>
    <t>Guirado, DJ; Wouts, WM; Bello, A</t>
  </si>
  <si>
    <t>Morphometric studies on Coomansus Jairajpuri &amp; Khan, 1977 (Nematoda&amp;COLFAML;Mononchida) and descriptions of two new species from the Subantarctic region</t>
  </si>
  <si>
    <t>FUNDAMENTAL AND APPLIED NEMATOLOGY</t>
  </si>
  <si>
    <t>Coomansus meridionalis sp. n.; Coomansus magellanicus sp. n.; Mononchida; Nematoda; Subantarctica; taxonomy</t>
  </si>
  <si>
    <t>FAMILY MONONCHIDAE</t>
  </si>
  <si>
    <t>Four known and two new species of the genus Coomansus Jairajpuri &amp; Khan, 1977, inhabiting different areas of New Zealand, the Antarctic Peninsula, and Subantarctic America, are studied. A morphometric analysis is carried out to differentiate between C. gerlachei (de Man, 1904), C. mesadenus (Clark, 1960), C. composticola (Clark, 1960), C. intestinus (Vinciguerra &amp; La Rosa, 1990), C. meridionalis sp. n., and C. magellanicus sp. n. C. meridionalis sp. n. is characterized mainly by body length (2.10-2.65 mm), buccal cavity size (39-45 x 18-22 mu m), apex of the dorsal tooth at 84-95 % of the total buccal cavity measured from the base, spicule length (94-110 mu m), very slender lateral guiding pieces, conoid and ventrally curved tail with rounded terminus, and absence of spinneret. C. magellanicus sp. n. can be separated from the other species of the genus by the following combination of characters: body length (1.7-2.1 mm), buccal cavity size (32-36 X 18-22 mu m), apex of the dorsal tooth at 76-80 % of the total buccal cavity from base, spicule length (97-98 mu m), not very slender lateral guiding pieces, conoid and ventrally arcuate rail with broadly rounded terminus, and absence of caudal glands. (C) Orstom/Elsevier, Paris.</t>
  </si>
  <si>
    <t>Univ Cordoba, Fac Ciencias, Dept Biol Anim, E-14004 Cordoba, Spain; Manaaki Whenua Landcare Res, Auckland, New Zealand; CSIC, Ctr Ciencias Medioambientales, E-28006 Madrid, Spain</t>
  </si>
  <si>
    <t>Universidad de Cordoba; Landcare Research - New Zealand; Consejo Superior de Investigaciones Cientificas (CSIC); CSIC - Centro de Ciencias Medioambientales (CCMA)</t>
  </si>
  <si>
    <t>Univ Cordoba, Fac Ciencias, Dept Biol Anim, San Alberto Magno S-N, E-14004 Cordoba, Spain.</t>
  </si>
  <si>
    <t>1164-5571</t>
  </si>
  <si>
    <t>FUND APPL NEMATOL</t>
  </si>
  <si>
    <t>Fundam. Appl. Nematol.</t>
  </si>
  <si>
    <t>SEP-OCT</t>
  </si>
  <si>
    <t>124CW</t>
  </si>
  <si>
    <t>WOS:000076164600012</t>
  </si>
  <si>
    <t>Bland, PA; Sexton, AS; Jull, AJT; Bevan, AWR; Berry, FJ; Thornley, DM; Astin, TR; Britt, DT; Pillinger, CT</t>
  </si>
  <si>
    <t>Climate and rock weathering: A study of terrestrial age dated ordinary chondritic meteorites from hot desert regions</t>
  </si>
  <si>
    <t>GEOCHIMICA ET COSMOCHIMICA ACTA</t>
  </si>
  <si>
    <t>ANTARCTIC METEORITES; DISSOLUTION KINETICS; C-14; CLASSIFICATION; AUSTRALIA; NULLARBOR; OLIVINE; SURFACE; OXYGEN; EARTH</t>
  </si>
  <si>
    <t>Ordinary chondrites (OC) recovered from the desert areas of Roosevelt County, New Mexico, the Nullarbor Region of Western Australia, and the Algerian and Libyan Sahara, for which C-14 terrestrial ages have been determined, were examined by Fe-57 Mossbauer spectroscopy. OC were chosen as a standard sample to investigate weathering processes as their well constrained trace and bulk element chemistry, normative mineralogy and isotopic composition define a known, pre-weathering, starting composition. Given that terrestrial ages are known, it is possible to compare (initially very similar) samples that have been subsequently weathered in a range of climatic regimes from the present day to &gt; 44 ka BP. In addition, recently fallen equilibrated OC contain iron only as Fe-0 and Fe2+, thus the abundance of ferric iron is directly related to the level of terrestrial weathering. Mossbauer spectroscopy identifies two broad types of ferric alteration: paramagnetic phases (akaganeite, lepidocrocite, and goethite), and magnetically ordered (principally magnetite and maghemite). OC finds show a range in the percentage of total Fe existing as Fe3+ from zero to over 80%. However, oxidation is comparable between fragments of the same OC separated since their time of fall (i.e., paired meteorites). Our results indicate several features of meteorite weathering that may result from climatic or geomorphologic conditions at the accumulation site: (1) Saharan samples rue, overall, less weathered than non-Saharan samples, which may be related to the relatively recent age (ca. 20 ka) of the Saharan accumulation surface; (2) broad differences between sites in the rate of weathering, arising from regional differences in climate; (3) consistent differences in the weathering products between samples that fell during humid periods and those that fell during more arid periods (those falling during humid periods contain a higher proportion of magnetically ordered ferric oxides); (4) one region (the Nullarbor) that shows a variation in the total amount of ferric species that closely matches the climatic record for this area of Australia for the last 30 ka. Points (3) and (4) may be related to the identification of a rapid initial weathering phase: the majority of weathering occurs in the first few hundred years after fall, followed by passivation of weathering by porosity reduction. Porosity reduction, and the associated restriction in the ability of water to penetrate the sample, appears to be the mechanism whereby a weathering assemblage formed during the brief initial period of oxidation is preserved through subsequent climatic cycles over the terrestrial lifetime of the sample. Copyright (C) 1998 Elsevier Science Ltd.</t>
  </si>
  <si>
    <t>Western Australian Museum, Dept Earth &amp; Planetary Sci, Perth, WA 6000, Australia; Open Univ, Planetary Sci Res Inst, Milton Keynes MK7 6AA, Bucks, England; Univ Arizona, NSF, Accelerator Facil Radioisotope Anal, Tucson, AZ 85721 USA; Open Univ, Dept Chem, Milton Keynes MK7 6AA, Bucks, England; Univ Reading, Postgrad Res Inst Sedimentol, Reading RG6 6AB, Berks, England; Univ Arizona, Lunar &amp; Planetary Lab, Tucson, AZ 85721 USA</t>
  </si>
  <si>
    <t>Western Australian Museum; Open University - UK; National Science Foundation (NSF); University of Arizona; Open University - UK; University of Reading; University of Arizona</t>
  </si>
  <si>
    <t>Bland, PA (corresponding author), Nat Hist Museum, Dept Mineral, Cromwell Rd, London SW7 5DD, England.</t>
  </si>
  <si>
    <t>Bland, Phil/M-9392-2018</t>
  </si>
  <si>
    <t>Bland, Phil/0000-0002-4681-7898</t>
  </si>
  <si>
    <t>0016-7037</t>
  </si>
  <si>
    <t>GEOCHIM COSMOCHIM AC</t>
  </si>
  <si>
    <t>Geochim. Cosmochim. Acta</t>
  </si>
  <si>
    <t>10.1016/S0016-7037(98)00199-9</t>
  </si>
  <si>
    <t>156XV</t>
  </si>
  <si>
    <t>WOS:000078028700013</t>
  </si>
  <si>
    <t>Sagnotti, L; Florindo, F; Verosub, KL; Wilson, GS; Roberts, AP</t>
  </si>
  <si>
    <t>Environmental magnetic record of Antarctic palaeoclimate from Eocene/Oligocene glaciomarine sediments, Victoria Land Basin</t>
  </si>
  <si>
    <t>GEOPHYSICAL JOURNAL INTERNATIONAL</t>
  </si>
  <si>
    <t>Cenozoic; palaeoclimate; palaeomagnetism; rock magnetism; sediments</t>
  </si>
  <si>
    <t>SOUTHERN-OCEAN; ROCK</t>
  </si>
  <si>
    <t>The onset of continent-wide glaciation in Antarctica is still poorly understood, despite being one of the most important palaeoclimatic events in the Cenozoic. The Eocene/Oligocene boundary interval has recently been recognized as a critical time for Antarctic climatic evolution, and it may mark the preglacial-glacial transition. Magnetic susceptibility, intensity of natural and artificial remanences, hysteresis parameters and magnetic anisotropy of the lower half (late Eocene/early Oligocene) of the CIROS-1 core (from McMurdo Sound, Antarctica) reveal alternating intervals of high and low magnetic mineral concentrations that do not correspond to lithostratigraphic units in the core. Pseudo-single-domain magnetite is the main magnetic mineral throughout the sequence, and sharp changes in magnetite concentration match changes in clay mineralogy beneath and at the Eocene/Oligocene boundary. The detrital magnetite originated from weathering of the Ferrar Group (which comprises basic extrusive and intrusive igneous rocks). Weathering processes and input of magnetite to the Victoria Land Basin were intense during periods when the Antarctic climate was warmer than today, but during intervals when the climate was relatively cool, chemical weathering of the Ferrar Group was suppressed and input of detrital magnetite to the Victoria Land Basin decreased. Our results also indicate that a cold and dry climate was not established in Antarctica until the Eocene/Oligocene boundary, with major ice sheet growth occurring at the early/late Oligocene boundary. Some earlier cold intervals are identified, which indicate that climate had begun to deteriorate by the middle/late Eocene boundary.</t>
  </si>
  <si>
    <t>Ist Nazl Geofis, I-00143 Rome, Italy; Univ Calif Davis, Dept Geol, Davis, CA 95616 USA; Ohio State Univ, Byrd Polar Res Ctr, Columbus, OH 43210 USA; Univ Southampton, Dept Oceanog, Southampton Oceanog Ctr, Southampton SO14 3ZH, Hants, England</t>
  </si>
  <si>
    <t>Istituto Nazionale Geofisica e Vulcanologia (INGV); University of California System; University of California Davis; University System of Ohio; Ohio State University; University of Southampton; NERC National Oceanography Centre</t>
  </si>
  <si>
    <t>Sagnotti, L (corresponding author), Ist Nazl Geofis, Via Vigna Murata 605, I-00143 Rome, Italy.</t>
  </si>
  <si>
    <t>Wilson, Gary S/B-3803-2010; Roberts, Andrew P/E-6422-2010; Sagnotti, Leonardo/AFM-3916-2022; Florindo, Fabio/F-4119-2010; Florindo, Fabio/M-1459-2019; Florindo, Fabio/AAU-2548-2021</t>
  </si>
  <si>
    <t>Sagnotti, Leonardo/0000-0003-3944-201X; Florindo, Fabio/0000-0002-6058-9748; Florindo, Fabio/0000-0002-6058-9748; Roberts, Andrew P./0000-0003-0566-8117; Wilson, Gary/0000-0003-0025-3641</t>
  </si>
  <si>
    <t>0956-540X</t>
  </si>
  <si>
    <t>GEOPHYS J INT</t>
  </si>
  <si>
    <t>Geophys. J. Int.</t>
  </si>
  <si>
    <t>10.1046/j.1365-246x.1998.00559.x</t>
  </si>
  <si>
    <t>117TB</t>
  </si>
  <si>
    <t>WOS:000075796900001</t>
  </si>
  <si>
    <t>Bell, AC; King, EC</t>
  </si>
  <si>
    <t>New seismic data support Cenozoic rifting in George VI Sound, Antarctic Peninsula</t>
  </si>
  <si>
    <t>Cenozoic rifting; George VI Sound; postglacial sedimentation; rift segmentation; seismic reflection; synthetic-aperture radar</t>
  </si>
  <si>
    <t>DEAD-SEA BASIN; ALEXANDER-ISLAND; FORE-ARC; HISTORY; EVOLUTION; MAGMATISM; PACIFIC; AREA; AGE</t>
  </si>
  <si>
    <t>New multifold seismic-reflection and wide-angle reflection/refraction data across George VI Sound, Antarctic Peninsula, show the presence of graben and horst structures indicating an extensional origin. The data suggest that rocks of an accretionary complex and fore-are basin underlie the Sound and are in faulted contact along its eastern boundary with volcanic and plutonic rocks of the associated Mesozoic are of western Palmer Land. A cover of possible syn- and postglacial Cenozoic deposits drapes the structures. The combination of new seismic, synthetic-aperture radar and previously acquired data suggests subduction-related rifting in the Sound was segmented, with opening in the south predominately by normal extension whilst in the north, dextral transtension predominated.</t>
  </si>
  <si>
    <t>Bell, AC (corresponding author), British Antarctic Survey, Madingley Rd, Cambridge CB3 0ET, England.</t>
  </si>
  <si>
    <t>10.1046/j.1365-246x.1998.00605.x</t>
  </si>
  <si>
    <t>WOS:000075796900020</t>
  </si>
  <si>
    <t>Baldwin, MP; Dunkerton, TJ</t>
  </si>
  <si>
    <t>Quasi-biennial modulation of the southern hemisphere stratospheric polar vortex</t>
  </si>
  <si>
    <t>NORTHERN-HEMISPHERE; ANTARCTIC OZONE; INTERANNUAL VARIABILITY; OSCILLATION; WINTER; QBO; MB</t>
  </si>
  <si>
    <t>Observations reveal that the wintertime southern hemisphere stratospheric polar vortex is modulated by the phase of the equatorial quasi-biennial oscillation (QBO). The high-latitude southern stratosphere is shown to be slightly colder throughout the winter, and the final warming occurs later, when the QBO is in its west phase. During May-October, the modulation of winds by the QBO is confined to midlatitudes, at the edge of the polar vortex. The difference between west and east phase composites of zonal mean wind during November, at the time of the final warming in the southern hemisphere, exceeded 14 ms(-1). This difference is very similar to that in January in the northern hemisphere. While northern hemisphere QBO effects are optimized using equatorial winds near 40 hPa, southern hemisphere effects are best seen using similar to 25 hPa winds.</t>
  </si>
  <si>
    <t>NW Res Associates Inc, Bellevue, WA 98009 USA</t>
  </si>
  <si>
    <t>NorthWest Research Associates</t>
  </si>
  <si>
    <t>NW Res Associates Inc, POB 3027, Bellevue, WA 98009 USA.</t>
  </si>
  <si>
    <t>mark@nwra.com; tim@nwra.com</t>
  </si>
  <si>
    <t>Baldwin, Mark P/J-6720-2012</t>
  </si>
  <si>
    <t>10.1029/98GL02445</t>
  </si>
  <si>
    <t>116TC</t>
  </si>
  <si>
    <t>WOS:000075739800035</t>
  </si>
  <si>
    <t>Morse, DL; Waddington, ED; Steig, EJ</t>
  </si>
  <si>
    <t>Ice age storm trajectories inferred from radar stratigraphy at Taylor Dome, Antarctica</t>
  </si>
  <si>
    <t>CLIMATE; CORES; EAST</t>
  </si>
  <si>
    <t>The Taylor Dome ice core, East Antarctica, provides a climate record that extends through the previous interglacial. We use ice dynamics modeling and geochemical records to infer the local accumulation rate history. A pronounced accumulation reduction occurred during the Last Glacial Maximum (LGM). The spatial gradient of accumulation across the surface of Taylor Dome indicates the modern local prevailing storm direction. Radar internal layering shows that this gradient was reversed during the LGM, suggesting a reorganization of synoptic weather systems occurred, possibly linked to the advance and retreat of the West Antarctic Ice Sheet.</t>
  </si>
  <si>
    <t>Univ Washington, Geophys Program, Seattle, WA 98195 USA; Univ Washington, Dept Geol, Quaternary Res Ctr, Seattle, WA USA</t>
  </si>
  <si>
    <t>University of Washington; University of Washington Seattle; University of Washington; University of Washington Seattle</t>
  </si>
  <si>
    <t>Morse, DL (corresponding author), Univ Texas, Inst Geophys, 8701 Mopac Blvd, Austin, TX 78759 USA.</t>
  </si>
  <si>
    <t>/G-9088-2015</t>
  </si>
  <si>
    <t>/0000-0002-8191-5549</t>
  </si>
  <si>
    <t>10.1029/98GL52486</t>
  </si>
  <si>
    <t>WOS:000075739800045</t>
  </si>
  <si>
    <t>Barber, DG; Fung, AK; Grenfell, TC; Nghiem, SV; Onstott, RG; Lytle, VI; Perovich, DK; Gow, AJ</t>
  </si>
  <si>
    <t>The role of snow on microwave emission and scattering over first-year sea ice</t>
  </si>
  <si>
    <t>IEEE TRANSACTIONS ON GEOSCIENCE AND REMOTE SENSING</t>
  </si>
  <si>
    <t>SIGNATURES; COEFFICIENT; EVOLUTION</t>
  </si>
  <si>
    <t>The primary objective of this paper is to investigate the geophysical and thermodynamic effects of snow on sea ice in defining the electromagnetic (EM) interaction within the microwave portion of the spectrum. We combine observational evidence of both the physical and thermodynamic characteristics of snow with direct measurements of scattering and emission at a variety of frequencies. We explain our observational results using various state-of-the-art forward scattering and emission models. Results show that geophysical characteristics of snow effect emission above about 37 GHz and above 5 GHz for active microwave scattering. We understand these effects to be driven by grain size and its contribution to volume scattering in both passive and active interactions within the volume. With snow cover, the Brewster angle effect is not significant and there is a gradual rise in emission from 10 to 37 GHz, We find emissivity to be dominated by direct emission from saline ice through the snow layer. Hence, the influence of grain size is small but the trend is clearly a drop in total emission as the grain size increases. We find that the role of the volume fraction of snow on emission and scattering is a complex relationship between the number density of scatterers relative to the coherence of this scattering ensemble. At low volume fractions, we find that independent scattering dominates, resulting in an increase in albedo and the extinction coefficient of the snow with frequency. The thermodynamic effects of snow on microwave scattering and emission are driven by the role that thermal diffusivity and conductivity play in the definition of brine volumes at the ice surface and within the snow volume, Prior to the presence of water in liquid phase within the snow volume, we find that the indirect effects are dominated by an impedance matching process across the snow-ice interface. We find that the complex permittivity at the snow-ice interface is considerably higher than over the bare ice surface. Our results showed that only a small change occurs between the cold and warm cases at lower frequencies, but as expected, the change in emissivity is larger at higher frequencies. Once water in liquid phase appears within the snow cover, we find that both emission and scattering are directly affected by the high complex permittivity of this volume fraction within the snow layer.</t>
  </si>
  <si>
    <t>Univ Manitoba, Dept Geog, Winnipeg, MB R3T 2N2, Canada; Univ Texas, Dept Elect Engn, Arlington, TX 76019 USA; Univ Washington, Dept Atmospher Sci, Seattle, WA 98195 USA; CALTECH, Jet Prop Lab, Pasadena, CA 91109 USA; Environm Res Inst Michigan, Ann Arbor, MI 48107 USA; Antarctic CRC &amp; Australian Antarctic Div, Hobart, Tas 7001, Australia; USA, Cold Reg Res &amp; Engn Lab, Hanover, NH 03755 USA</t>
  </si>
  <si>
    <t>University of Manitoba; University of Texas System; University of Texas Arlington; University of Washington; University of Washington Seattle; California Institute of Technology; National Aeronautics &amp; Space Administration (NASA); NASA Jet Propulsion Laboratory (JPL); Australian Antarctic Division; United States Department of Defense; United States Army; U.S. Army Corps of Engineers; U.S. Army Engineer Research &amp; Development Center (ERDC); Cold Regions Research &amp; Engineering Laboratory (CRREL)</t>
  </si>
  <si>
    <t>Barber, DG (corresponding author), Univ Manitoba, Dept Geog, Winnipeg, MB R3T 2N2, Canada.</t>
  </si>
  <si>
    <t>dbarber@ms.umanitoba.ca</t>
  </si>
  <si>
    <t>Barber, David/0000-0001-9466-3291</t>
  </si>
  <si>
    <t>0196-2892</t>
  </si>
  <si>
    <t>IEEE T GEOSCI REMOTE</t>
  </si>
  <si>
    <t>IEEE Trans. Geosci. Remote Sensing</t>
  </si>
  <si>
    <t>10.1109/36.718643</t>
  </si>
  <si>
    <t>Geochemistry &amp; Geophysics; Engineering, Electrical &amp; Electronic; Remote Sensing; Imaging Science &amp; Photographic Technology</t>
  </si>
  <si>
    <t>Geochemistry &amp; Geophysics; Engineering; Remote Sensing; Imaging Science &amp; Photographic Technology</t>
  </si>
  <si>
    <t>121ZQ</t>
  </si>
  <si>
    <t>WOS:000076046300010</t>
  </si>
  <si>
    <t>Houseago, RE; Mcgregor, GR; King, JC; Harangozo, SA</t>
  </si>
  <si>
    <t>Climate anomaly wave-train patterns linking southern low and high latitudes during south Pacific warm and cold events</t>
  </si>
  <si>
    <t>INTERNATIONAL JOURNAL OF CLIMATOLOGY</t>
  </si>
  <si>
    <t>ENSO; atmospheric wave-trains; climate anomalies; propagation</t>
  </si>
  <si>
    <t>SEA-LEVEL PRESSURE; EL-NINO; INTERANNUAL VARIABILITY; OSCILLATION; HEMISPHERE; CIRCULATION; TEMPERATURE; ICE; 500-MB</t>
  </si>
  <si>
    <t>Atmospheric wave-trains of climate anomalies are investigated as a candidate for linking low and high latitude atmospheric signals during Pacific Ocean warm (ENSO) and cold (La Nina) events. Study results, which are based on Hovmoller analyses, reveal a high degree of inter-warm and inter-cold event variability of wave-train patterns. The uniqueness of the 1982 warm event is emphasised. Despite this variability, there appears to be clear evidence of a true warm-cold antiphase of wave-train anomaly patterns. During cold events there is a propagation of negative height and temperature anomalies from subtropical to high latitudes up to the cold event peak with these persisting for ca. 1 year in subpolar latitudes following the peak. For warm events, apart from 1982, the propagation of positive height anomalies from low to high latitudes up to the event peak and the presence of a strong meridional contrast between subpolar and subtropical pressure and temperature anomalies is a feature. In contrast an equatorward propagation of negative anomalies is a distinguishing characteristic of the 1982 event indicating that during warm events anomaly wave-trains not only propagate poleward to, but also equatorward from, high southern latitudes. Study results are discussed in the context of possible mechanisms for linking low and high latitude climate anomalies. (C) 1998 Royal Meteorological Society.</t>
  </si>
  <si>
    <t>Univ Birmingham, Sch Geog, Birmingham Climate &amp; Atmospher Res Ctr, Birmingham B15 2TT, W Midlands, England; British Antarctic Survey, NERC, Ice &amp; Climate Div, Cambridge CB3 0ET, England</t>
  </si>
  <si>
    <t>University of Birmingham; UK Research &amp; Innovation (UKRI); Natural Environment Research Council (NERC); NERC British Antarctic Survey</t>
  </si>
  <si>
    <t>Houseago, RE (corresponding author), Univ Birmingham, Sch Geog, Birmingham Climate &amp; Atmospher Res Ctr, Birmingham B15 2TT, W Midlands, England.</t>
  </si>
  <si>
    <t>Houseago-Stokes, Richenda/0000-0002-7303-7790; McGregor, Glenn/0000-0001-8487-2081</t>
  </si>
  <si>
    <t>JOHN WILEY &amp; SONS LTD</t>
  </si>
  <si>
    <t>W SUSSEX</t>
  </si>
  <si>
    <t>BAFFINS LANE CHICHESTER, W SUSSEX PO19 1UD, ENGLAND</t>
  </si>
  <si>
    <t>0899-8418</t>
  </si>
  <si>
    <t>INT J CLIMATOL</t>
  </si>
  <si>
    <t>Int. J. Climatol.</t>
  </si>
  <si>
    <t>10.1002/(SICI)1097-0088(199809)18:11&lt;1181::AID-JOC332&gt;3.3.CO;2-O</t>
  </si>
  <si>
    <t>122XV</t>
  </si>
  <si>
    <t>WOS:000076097500002</t>
  </si>
  <si>
    <t>Lee, IT; Ogawa, Y</t>
  </si>
  <si>
    <t>Bottom-current deposits in the Miocene-Pliocene Misaki Formation, IZU forearc area, Japan</t>
  </si>
  <si>
    <t>ISLAND ARC</t>
  </si>
  <si>
    <t>bottom current rent; contourite; Izu forearc; Miocene; Misaki Formation</t>
  </si>
  <si>
    <t>SEDIMENTATION; SUBDUCTION; COLLISION; HONSHU; ARC</t>
  </si>
  <si>
    <t>Sedimentary structures in the middle-late Miocene to early Pliocene Misaki Formation, Miura Group, Miura Peninsula, Central Japan, were studied, and paleocurrent data were interpreted as the result of deep-sea bottom-current flow. These current data were further compared with present-day bottom currents in the northwestern Pacific region. The Misaki Formation is thought to be a forearc deposit within the Izu oceanic arc, and is composed of thick volcaniclastic beds interbedded with siliceous biogenic clayey sediments. Sedimentary structures showing paleocurrent directions are involved in the upper part of the volcaniclastic beds, in the pumiceous beds just above the volcaniclastic beds, and in the pelagic sediments. Based on paleomagnetic data suggesting considerable rotation of the beds, all the current directions were reconstructed to their original orientation. The paleocurrents are summarized into the following three groups. The first group in the volcaniclastic beds indicates southeast-directed paleocurrent directions. The second group in the upper parts of volcaniclastic beds and in some pumiceous beds exhibits a southwest- and northeast-directed paleoflow. The third group usually observed in the pumiceous beds with parallel lamination displays a northwest- or southeast-directed paleocurrent. The origin of each group's paleoflow direction is attributed to turbidity current, internal tidal current, and contour current influences, respectively. Present-day observations of the deep-sea northwest Pacific suggest that most of the bottom-current indicators in the Misaki Formation are related to North Pacific Deep Water, possibly Antarctic Bottom Water as well as a combination of tidal and local effects. It is concluded that the beds of the Misaki Formation were deposited in the proto-Sagami basin ca 9 Ma and were formed under weak bottom currents in a wide and flat basin during colder climatic conditions, whereas the beds dated at ca 6 Ma were deposited under strong bottom-current flow, and were then accreted to the Honshu arc.</t>
  </si>
  <si>
    <t>Univ Tsukuba, Inst Geosci, Tsukuba, Ibaraki 3058571, Japan</t>
  </si>
  <si>
    <t>University of Tsukuba</t>
  </si>
  <si>
    <t>Lee, IT (corresponding author), Chonnam Natl Univ, Coll Nat Sci, Dept Oceanog, Kwangju 500757, South Korea.</t>
  </si>
  <si>
    <t>BLACKWELL SCIENCE</t>
  </si>
  <si>
    <t>CARLTON</t>
  </si>
  <si>
    <t>54 UNIVERSITY ST, P O BOX 378, CARLTON, VICTORIA 3053, AUSTRALIA</t>
  </si>
  <si>
    <t>1038-4871</t>
  </si>
  <si>
    <t>ISL ARC</t>
  </si>
  <si>
    <t>Isl. Arc.</t>
  </si>
  <si>
    <t>10.1111/j.1440-1738.1998.00192.x</t>
  </si>
  <si>
    <t>122ED</t>
  </si>
  <si>
    <t>WOS:000076058200003</t>
  </si>
  <si>
    <t>Yakovlev, NG</t>
  </si>
  <si>
    <t>Simulation of climatic circulation in the Arctic Ocean</t>
  </si>
  <si>
    <t>IZVESTIYA AKADEMII NAUK FIZIKA ATMOSFERY I OKEANA</t>
  </si>
  <si>
    <t>SEA; VELOCITY; CURRENTS; MODEL</t>
  </si>
  <si>
    <t>Large-scale climatic circulation in the Arctic Ocean during winter and summer was investigated without explicitly taking into account ice drift. A new finite element baroclinic numerical model of the ocean general circulation, with a horizontal resolution of 111.2 km and 16 vertical levels, was used for computations. The temperature and salinity data used in simulations were prepared at the Arctic and Antarctic Research Institute. Current patterns were computed in two steps. First, diagnostic runs with temporally fixed temperature and salinity fields were conducted. Although the simulated current pattern was found very noisy, it contained well-known large-scale structures, such as the Transpolar Drift Stream and the Beaufort Gyre. Second, adaptive runs were performed to adjust the specified temperature and salinity fields to the basin geometry, wind, and mass transport through straits. All basic structures of the temperature and salinity fields were retained in an adaptive run for 300 days. At the same time, the adaptive run produced a much more regular current pattern, in which the narrow West Spitsbergen Current can be observed to extend to the northern boundary of the Laptev Sea. The mass transport through basic straits was estimated. A wintertime climatic field of vertical flow velocity was obtained for the first time by adaptive computations.</t>
  </si>
  <si>
    <t>Russian Acad Sci, Inst Numer Math, Moscow 117334, Russia</t>
  </si>
  <si>
    <t>Russian Academy of Sciences</t>
  </si>
  <si>
    <t>Yakovlev, NG (corresponding author), Russian Acad Sci, Inst Numer Math, Leninskii Pr 32A, Moscow 117334, Russia.</t>
  </si>
  <si>
    <t>Iakovlev, Nikolay/T-9703-2019</t>
  </si>
  <si>
    <t>0002-3515</t>
  </si>
  <si>
    <t>IZV AN FIZ ATMOS OK+</t>
  </si>
  <si>
    <t>Izv. Akad. Nauk. Fiz. Atmos. Okean. Biol.</t>
  </si>
  <si>
    <t>137BT</t>
  </si>
  <si>
    <t>WOS:000076894700013</t>
  </si>
  <si>
    <t>Abyzov, SS; Barkov, NI; Bobin, NE; Koudryashov, BB; Lipenkov, VY; Mitskevich, IN; Pashkevich, VM; Poglazova, MN</t>
  </si>
  <si>
    <t>The ice sheet of central Antarctica as an object of study of past ecological events on the earth</t>
  </si>
  <si>
    <t>IZVESTIYA AKADEMII NAUK SERIYA BIOLOGICHESKAYA</t>
  </si>
  <si>
    <t>RECORD</t>
  </si>
  <si>
    <t>Microbiological studies of the Central Antarctica glacier have revealed a diverse microflora in all layers: from the surface to the ancient located at a depth of-about 3000 m and approximately 250000 years old. The total number of microbial cells in all studied horizons of the glacier varied within the limits of 10(2)-10(3) cells per cm(3) of ice. The abundance of microorganisms in different horizons of the glacier varied by an order of magnitude. Comparison of these data with the results of glaciological studies has shown a direct relationship between the number of microbial cells in the studied glacier layers and climatic changes on the Earth during different periods of its geological history.</t>
  </si>
  <si>
    <t>Russian Acad Sci, Inst Microbiol, Moscow 117811, Russia; Arctic &amp; Antarctic Res Inst, St Petersburg 199226, Russia; Min Inst, St Petersburg 199026, Russia</t>
  </si>
  <si>
    <t>Research Center of Biotechnology RAS; Russian Academy of Sciences; Arctic &amp; Antarctic Research Institute</t>
  </si>
  <si>
    <t>Abyzov, SS (corresponding author), Russian Acad Sci, Inst Microbiol, Pr 60letiya Oktyabrya 7-2, Moscow 117811, Russia.</t>
  </si>
  <si>
    <t>0002-3329</t>
  </si>
  <si>
    <t>IZV AKAD NAUK BIOL+</t>
  </si>
  <si>
    <t>Izv. Akad. Nauk Ser. Biol.</t>
  </si>
  <si>
    <t>137JF</t>
  </si>
  <si>
    <t>WOS:000076910500009</t>
  </si>
  <si>
    <t>Tveraa, T; Saether, BE; Aanes, R; Erikstad, KE</t>
  </si>
  <si>
    <t>Regulation of food provisioning in the Antarctic petrel; the importance of parental body condition and chick body mass</t>
  </si>
  <si>
    <t>Antarctica; body condition; fixed level of investment hypothesis; flexible; level of investment hypothesis; Procellariiform life history</t>
  </si>
  <si>
    <t>LONG-LIVED SEABIRD; PUFFIN FRATERCULA-ARCTICA; THALASSOICA-ANTARCTICA; FORAGING TRIPS; BLUE PETREL; REPRODUCTIVE SUCCESS; CALONECTRIS-DIOMEDEA; HALOBAENA-CAERULEA; INCUBATION ROUTINE; PELAGIC SEABIRD</t>
  </si>
  <si>
    <t>1. Two hypotheses may explain how long-lived seabirds regulate the food provisioning to their chick. The fixed level of investment hypothesis states that the parents provide food for their chick according to an intrinsic rhythm, independent of their chick's need. The flexible investment hypothesis states that the parents adjust their food provisioning both according to their chick's and their own need. 2. We tested how the Antarctic petrels adjust the food-provisioning according to their own body condition or to their chick's need. First, we selected parents in poor and good body condition. Then we gave all parents randomly a chick of different body mass, but of the same age. We then measured the chicks daily until they were fed for the first time after swapping. 3. Parents in good body condition at hatching were more likely to produce a chick that was still alive 9 days after hatching than parents in poor body condition. Chick body mass at day 9 and at the end of the guarding period was positively related to the mean body condition of the parents at hatching. 4. The meal size provided by parents in good body condition was larger than that provided by parents in poor body condition. Parents in good body condition delivered more food to small than to large chicks, whereas no such relationship was found among parents in poor body condition. 5. Our results suggest that the Antarctic petrel parents adjust the amount of food delivered to their chick according to both the chick's need and their own body condition, and that the ability to respond to the chick's need is dependent upon their own body condition.</t>
  </si>
  <si>
    <t>Norwegian Inst Nat Res, Dept Arctic Ecol, N-9005 Tromso, Norway; Univ Tromso, Fac Math &amp; Nat Sci, Dept Biol, N-9037 Tromso, Norway; Norwegian Univ Sci &amp; Technol, Dept Zool, N-7034 Trondheim, Norway; Norwegian Inst Nat Res, N-7005 Trondheim, Norway</t>
  </si>
  <si>
    <t>Norwegian Institute Nature Research; UiT The Arctic University of Tromso; Norwegian University of Science &amp; Technology (NTNU); Norwegian Institute Nature Research</t>
  </si>
  <si>
    <t>Norwegian Inst Nat Res, Dept Arctic Ecol, Storgata 25, N-9005 Tromso, Norway.</t>
  </si>
  <si>
    <t>10.1046/j.1365-2656.1998.00234.x</t>
  </si>
  <si>
    <t>122ZA</t>
  </si>
  <si>
    <t>WOS:000076100300003</t>
  </si>
  <si>
    <t>Salamatin, AN; Hondoh, T; Uchida, T; Lipenkov, VY</t>
  </si>
  <si>
    <t>Post-nucleation conversion of an air bubble to clathrate air-hydrate crystal in ice</t>
  </si>
  <si>
    <t>JOURNAL OF CRYSTAL GROWTH</t>
  </si>
  <si>
    <t>clathrate air-hydrate; polar ice; post-nucleation growth; mathematical model</t>
  </si>
  <si>
    <t>ANTARCTIC ICE; CORE; INCLUSIONS; NITROGEN; PRESSURE; SHEETS</t>
  </si>
  <si>
    <t>We present an attempt to model the process of conversion of an air bubble, trapped in ice, to clathrate air-hydrate crystal after its nucleation on the air-ice interface. Both counterparts of the transformation are considered: diffusion of interstitial water and air molecules through the growing hydrate layer that coats the bubble surface, and compressive deformation of the three-phase lair-hydrate-ice) system at a given temperature and load pressure. The mathematical model is constrained by laboratory experiments covering a wide range of thermodynamic conditions. Computational tests show that either diffusion or bubble compression can be the rate-limiting step in the post-nucleation growth of air-hydrate crystal. As a plastic material, air-hydrate appears to be, at least, one order harder than ice. The mass transfer coefficient for the diffusion of air and water molecules in air-hydrate is estimated to be 0.6-1.3 mm(2)/yr at 263 K with the activation energy not higher, than 30-50 kJ/mol. The mass flux of air, although small in comparison with that of water, plays an important role in the conversion. Special attention is paid to the case of air-hydrate growth in air bubbles in polar ice sheets. (C) 1998 Elsevier Science B.V. All rights reserved.</t>
  </si>
  <si>
    <t>Hokkaido Univ, Inst Low Temp Sci, Sapporo, Hokkaido 060, Japan; Kazan State Univ, Dept Math Appl, Kazan 420008, Russia; Hokkaido Natl Ind Res Inst, Toyohira Ku, Sapporo, Hokkaido 062, Japan; Arctic &amp; Antarctic Res Inst, St Petersburg 199397, Russia</t>
  </si>
  <si>
    <t>Hokkaido University; Kazan Federal University; National Institute of Advanced Industrial Science &amp; Technology (AIST); Arctic &amp; Antarctic Research Institute</t>
  </si>
  <si>
    <t>Hondoh, T (corresponding author), Hokkaido Univ, Inst Low Temp Sci, N19,W8, Sapporo, Hokkaido 060, Japan.</t>
  </si>
  <si>
    <t>Uchida, Tsutomu/E-3835-2012; HONDOH, Takeo/E-7551-2011; Lipenkov, Vladimir/Q-8262-2016; Salamatin, Andrey/A-9831-2016</t>
  </si>
  <si>
    <t>HONDOH, Takeo/0000-0003-4129-022X; Lipenkov, Vladimir/0000-0003-4221-5440; Salamatin, Andrey/0000-0002-5988-6024</t>
  </si>
  <si>
    <t>0022-0248</t>
  </si>
  <si>
    <t>J CRYST GROWTH</t>
  </si>
  <si>
    <t>J. Cryst. Growth</t>
  </si>
  <si>
    <t>10.1016/S0022-0248(98)00488-6</t>
  </si>
  <si>
    <t>Crystallography; Materials Science, Multidisciplinary; Physics, Applied</t>
  </si>
  <si>
    <t>Crystallography; Materials Science; Physics</t>
  </si>
  <si>
    <t>122PY</t>
  </si>
  <si>
    <t>WOS:000076081700027</t>
  </si>
  <si>
    <t>LaBelle, J; Weatherwax, AT; Perring, J; Walsh, E; Trimpi, ML; Inan, US</t>
  </si>
  <si>
    <t>Low-frequency impulsive auroral hiss observations at high geomagnetic latitudes</t>
  </si>
  <si>
    <t>RADIO EMISSIONS; VLF HISS; NOISE</t>
  </si>
  <si>
    <t>Wave receivers in Antarctic Automatic Geophysical Observatories (AGOs) measure spectral features of low-frequency impulsive auroral hiss emissions which cannot be observed at northern hemisphere sites or near manned Antarctic stations due to man-made interference. From observations at AGO-P1 (similar to 80 degrees invariant latitude) we distinguish two spectral types of LF impulsive auroral hiss: normal events, in which the power spectral density is a decreasing function of frequency throughout the LF band, presumably peaking in the VLF band below the frequency range of the LF/MF/HF receiver; and LF cutoff events, for which the power spectral density peaks in the LF band with little or no power at VLF. Out of a large sample of impulsive auroral hiss events observed at AGO-P1, 64% are the normal type, 14% are the LF-cutoff type, and 22% are a mixture of both. A hiss propagation model similar to that of Makita [1979] was used to evaluate approximately whether the observed occurrence statistics of LF cutoff auroral hiss are consistent with previous models of auroral hiss generation and propagation. The results indicate that LF cutoff auroral hiss can be explained by propagation effects and suggest that the observed LF cutoff occurrence statistics are consistent with LF impulsive auroral hiss originating at or ducted to altitudes of 2000-5000 km.</t>
  </si>
  <si>
    <t>Dartmouth Coll, Dept Phys &amp; Astron, Hanover, NH 03755 USA; Stanford Univ, Dept Elect Engn, Stanford, CA 94305 USA; Univ Maryland, Inst Phys Sci &amp; Technol, College Pk, MD 20742 USA</t>
  </si>
  <si>
    <t>Dartmouth College; Stanford University; University System of Maryland; University of Maryland College Park</t>
  </si>
  <si>
    <t>LaBelle, J (corresponding author), Dartmouth Coll, Dept Phys &amp; Astron, 6127 Wilder Lab, Hanover, NH 03755 USA.</t>
  </si>
  <si>
    <t>Inan, Umran/0000-0001-5837-5807; Weatherwax, Allan/0000-0003-4732-358X; LaBelle, James/0000-0002-0772-8825</t>
  </si>
  <si>
    <t>A9</t>
  </si>
  <si>
    <t>10.1029/98JA01562</t>
  </si>
  <si>
    <t>118BG</t>
  </si>
  <si>
    <t>WOS:000075817300011</t>
  </si>
  <si>
    <t>Troshichev, OA; Gabis, IP</t>
  </si>
  <si>
    <t>Variations of solar UV irradiance related to short-term and medium-term changes of solar activity</t>
  </si>
  <si>
    <t>TOTAL OZONE; ULTRAVIOLET IRRADIANCE; TEMPORAL VARIATIONS; REGION EVOLUTION; CYCLE; ROTATION; INDEX; FLUX; QBO; STRATOSPHERE</t>
  </si>
  <si>
    <t>Index of variability of the solar ultraviolet (UV) radiation, the composite Mg II core-to-wing ratio, has been used to study relationship between the shortterm (tau &lt; 27 days) changes of solar activity and solar UV irradiance. Such manifestations of the solar activity have been examined, as the solar central meridian passage of active regions, the solar proton events, and the central meridian passage of hypothetical regions responsible for the Forbush decrease in the galactic cosmic rays. Our results show that all these short-term changes of the solar activity are accompanied by an increase of the solar UV irradiance. The interplanetary magnetic field sector structure is also related to changes in the UV irradiance. After a proper adjustment of the dates of the sector boundary occurrence for the solar disk, the irradiance was found to be maximal on the toward/away boundary and minimal on the away/toward boundary. It has been found that the UV irradiance undergoes quasi-biennial periodicity (QBP), reaching maximum in years of the east QBP phase and decreasing in years of the west QBP phase. Superposition of the quasi-biennial periodicity and effects connected with short-term variations in the solar activity account for the change of the Mg II index up to 2% of the mean level. Thus a new very important agent was found to be responsible for a short-term and medium-term influence of the solar activity upon atmospheric processes and hence on the weather and climate.</t>
  </si>
  <si>
    <t>Troshichev, OA (corresponding author), Arctic &amp; Antarctic Res Inst, St Petersburg 199397, Russia.</t>
  </si>
  <si>
    <t>10.1029/98JA01739</t>
  </si>
  <si>
    <t>WOS:000075817300031</t>
  </si>
  <si>
    <t>Jarvis, MJ; Jenkins, B; Rodgers, GA</t>
  </si>
  <si>
    <t>Southern hemisphere observations of a long-term decrease in F region altitude and thermospheric wind providing possible evidence for global thermospheric cooling</t>
  </si>
  <si>
    <t>UPPER-ATMOSPHERE; TRENDS; MESOSPHERE; MODEL; IONOSPHERE; CLIMATOLOGY; F2-LAYER; HEIGHT; OZONE</t>
  </si>
  <si>
    <t>F region peak heights,.derived from ionospheric scaled parameters through 38-year data series from both Argentine Islands (65 degrees S, 64 degrees W) and Port Stanley (52 degrees S, 58 degrees W) have been analyzed for signatures of secular change. Long-term changes in altitude, which vary with month and time of day, were found at both sites. The results can be interpreted either as a constant decrease in altitude combined with a decreasing thermospheric wind effect or as a constant decrease in altitude which is altitude-dependent. Both interpretations leave inconsistencies when the results from the two sites are compared. The estimated long-term decrease in altitude is of a similar order of magnitude to that which has been predicted to result in the thermosphere from anthropogenic change related to greenhouse gases. Other possibilities should not, however, be ruled out.</t>
  </si>
  <si>
    <t>Jarvis, MJ (corresponding author), British Antarctic Survey, NERC, High Cross,Madingley Rd, Cambridge CB3 0ET, England.</t>
  </si>
  <si>
    <t>10.1029/98JA01629</t>
  </si>
  <si>
    <t>WOS:000075817300041</t>
  </si>
  <si>
    <t>Intermediate water circulation and ventilation of the Indian Ocean derived from water-mass contributions</t>
  </si>
  <si>
    <t>TOTAL GEOSTROPHIC CIRCULATION; THERMOCLINE CIRCULATION; NEUTRAL SURFACES; SOUTH-ATLANTIC; WORLDS OCEANS; FLOW PATTERNS; TRANSPORTS; TRACERS</t>
  </si>
  <si>
    <t>The intermediate water circulation and ventilation of the Indian Ocean is somewhat unique among the world oceans (in terms of the source waters). This has been studied with historical and recently obtained hydrographic data including potential temperature, salinity, dissolved oxygen, phosphate and silicate in a mixing model of applying optimum multiparameter analysis (OMP). The mixing model comprises three source water masses, Antarctic Intermediate Water (AAIW) (applied the transformed AAIW north of the Antarctic frontal zone and central South Indian Ocean), Indonesian Intermediate Water (IIW) and Red Sea Intermediate Water (RSIW) (including the influence of Persian Gulf Intermediate Water). A possible source from south of Australia has also been considered and accommodated into the water type definition of AAIW. This study was performed on six closely spaced neutral density surfaces which encompass the intermediate layer of the Indian Ocean from 500 m (in the northern Indian Ocean) to 1500 m (in the subtropical latitudes) with a distance of about 100-150 m between a pair of surfaces. Water-mass mixing contributions were plotted on the neutral surfaces and in three cross sections, the western Indian Ocean along 60E, the eastern Indian Ocean along 90E, and a zonal section along 10S. The intermediate water circulation and ventilation of the Indian Ocean can thus be inferred from the spreading paths and mixing patterns of these source water masses. A schematic intermediate water circulation of the Indian Ocean therefore emerges from the water-mass and dynamical information. The latter is derived from the acceleration potential (10 m(2) s(-2)) mapped on the neutral surfaces. The equatorward AAIW enters the Indian Ocean from the mid-ocean of the southern Indian Ocean, is advected with the subtropical gyre and transits to the north through the western boundary. In the western equatorial Indian Ocean, AAIW flows northeastward to eastward. At about 80E, AAIW bifurcates into northward and southward flows. The former continues into the Bay of Bengal through the western boundary (east of Sri Lanka) with up to 10% of the contribution. It returns southward in the eastern Bay of Bengal and along the Sumatra and Java Islands, zonally westward with IIW. The latter recirculates southward and then westward, forming a cyclonic gyre. The AAIW then turns southward into the Agulhas Current system through either side of Madagascar. AAIW contributes about 10-20% of its water into the equatorial Indian Ocean. Its northward flow in the western Indian Ocean is limited to 5N. IIW flows zonally westward and bifurcates into a northward and a southward how in the western Indian Ocean. The direction of the latter is southward into the Agulhas Current system through either side of Madagascar. The former flows northward by the way of AAIW. Although AAIW does not flow into the Arabian Sea, IIW is found flowing into the Arabian Sea via the west coast of India. The main how path of IIW into the Bay of Bengal is through the south of Sri Lanka. IIW largely contributes about 50-60% of its water into the Bay of Bengal. The northward flow of IIW is interrupted at the central equatorial region by the eastward AAIW. These circulations form two cyclonic gyres in the western and eastern equatorial Indian Ocean. The latter gyre straddles the equator in the eastern Indian Ocean. RSIW flows to the southern Indian Ocean through both the western and eastern boundaries with much stronger flow in the west. The western boundary flow directly feeds the Agulhas Current and the Agulhas Return Current.</t>
  </si>
  <si>
    <t>Natl Museum Nat Hist, Lab Oceanog Phys, Paris, France</t>
  </si>
  <si>
    <t>10.1357/002224098765173455</t>
  </si>
  <si>
    <t>134JY</t>
  </si>
  <si>
    <t>WOS:000076740900003</t>
  </si>
  <si>
    <t>Eastman, JT; Lannoo, MJ</t>
  </si>
  <si>
    <t>Morphology of the brain and sense organs in the snailfish Paraliparis devriesi:: Neural convergence and sensory compensation on the Antarctic shelf</t>
  </si>
  <si>
    <t>JOURNAL OF MORPHOLOGY</t>
  </si>
  <si>
    <t>Liparidae; Paraliparis; Antarctic; brain; evolution</t>
  </si>
  <si>
    <t>TELEOST SEBASTISCUS-MARMORATUS; SUBDERMAL EXTRACELLULAR-MATRIX; FIBER-CONNECTIONS; NOTOTHENIOID FISHES; OCULAR MORPHOLOGY; LATERAL-LINE; DEEP-SEA; TELENCEPHALON; MITOCHONDRIAL; LIPARIDIDAE</t>
  </si>
  <si>
    <t>The Antarctic snailfish Paraliparis devriesi (Liparidae) is an epibenthic species, inhabiting depths of 500-650 m in McMurdo Sound. Liparids are the most speciose fish family in the Antarctic Region. We examine the gross morphology and histology of the sense organs and brain of P. devriesi and provide a phyletic perspective by comparing this morphology to that of four scorpaeniforms and of sympatric perciform notothenioids. The brain has numerous derived features, including well-developed olfactory lamellae with thick epithelia, large olfactory nerves and bulbs, and large telencephalic lobes. The retina contains only rods and exhibits a high convergence ratio (82:1). Optic nerves are small and nonpleated. The tectum is small. The corpus of the cerebellum is large, whereas the valvula is vestigial. The rhombencephalon and bulbospinal junction are extended and feature expanded vagal and spinal sensory lobes as well as hypertrophied dorsal horns and funiculi in the rostral spinal cord. The lower lobes of the pectoral fins have taste buds and expanded somatosensory innervation. Although the cephalic lateral line and anterior lateral line nerve are well developed, the trunk lateral line and posterior lateral line nerve are reduced. Near-field mechanoreception by trunk neuromasts may have been compromised by the watery, gelatinous subdermal extracellular matrix employed as a buoyancy mechanism. The expanded somatosensory input to the pectoral fin may compensate for the reduction in the trunk lateral line. The brains of P. devriesi and sympatric notothenioids share well-developed olfactory systems, an enlarged preoptic-hypophyseal axis, and subependymal expansions. Although the functional significance is unknown, the latter two features are correlated with habitation of the deep subzero waters of the Antarctic shelf. (C) 1998 Wiley-Liss, Inc.</t>
  </si>
  <si>
    <t>Ohio Univ, Coll Osteopath Med, Dept Biomed Sci, Athens, OH 45701 USA; Ball State Univ, Indiana Univ, Sch Med, Muncie Ctr Med Educ, Muncie, IN 47306 USA</t>
  </si>
  <si>
    <t>University System of Ohio; Ohio University; Ball State University; Indiana University Health; IU Health Ball Memorial Hospital</t>
  </si>
  <si>
    <t>Eastman, JT (corresponding author), Ohio Univ, Coll Osteopath Med, Dept Biomed Sci, Athens, OH 45701 USA.</t>
  </si>
  <si>
    <t>eastman@ohiou.edu</t>
  </si>
  <si>
    <t>Eastman, Joseph T/A-9786-2008; Eastman, Joseph T./O-6150-2019</t>
  </si>
  <si>
    <t>Eastman, Joseph T./0000-0003-3868-261X</t>
  </si>
  <si>
    <t>0362-2525</t>
  </si>
  <si>
    <t>J MORPHOL</t>
  </si>
  <si>
    <t>J. Morphol.</t>
  </si>
  <si>
    <t>10.1002/(SICI)1097-4687(199809)237:3&lt;213::AID-JMOR2&gt;3.0.CO;2-#</t>
  </si>
  <si>
    <t>Anatomy &amp; Morphology</t>
  </si>
  <si>
    <t>114RR</t>
  </si>
  <si>
    <t>WOS:000075623100002</t>
  </si>
  <si>
    <t>Franco, LH; Joffé, EBD; Puricelli, L; Tatian, M; Seldes, AM; Palermo, JA</t>
  </si>
  <si>
    <t>Indole alkaloids from the tunicate Aplidium meridianum</t>
  </si>
  <si>
    <t>DENDRODOA-GROSSULARIA; ANTARCTIC SPONGE</t>
  </si>
  <si>
    <t>Five new indole alkaloids, meridianins A-E (1-5), have been isolated from the tunicate Aplidium meridianum, which was collected at a depth of 100 m near the South Georgia Islands, and their structures were elucidated by spectroscopic techniques. Compounds 2-5 showed cytotoxicity toward murine tumor cell lines.</t>
  </si>
  <si>
    <t>Univ Buenos Aires, Fac Ciencias Exactas &amp; Nat, Dept Quim Organ, RA-1428 Buenos Aires, DF, Argentina; Inst Oncol AH Roffo, RA-1417 Buenos Aires, DF, Argentina; Univ Nacl Cordoba, Fac Ciencias Exactas Fis &amp; Nat, Catedra Anat Comparada, RA-5000 Cordoba, Argentina</t>
  </si>
  <si>
    <t>University of Buenos Aires; National University of Cordoba</t>
  </si>
  <si>
    <t>Palermo, JA (corresponding author), Univ Buenos Aires, Fac Ciencias Exactas &amp; Nat, Dept Quim Organ, Pabellon 2,Ciudad Univ, RA-1428 Buenos Aires, DF, Argentina.</t>
  </si>
  <si>
    <t>Tatian, Marcos/0000-0002-9092-9184; Palermo, Jorge/0000-0002-0892-9389</t>
  </si>
  <si>
    <t>10.1021/np970493u</t>
  </si>
  <si>
    <t>Index Chemicus (IC); Science Citation Index Expanded (SCI-EXPANDED)</t>
  </si>
  <si>
    <t>124QY</t>
  </si>
  <si>
    <t>WOS:000076194400014</t>
  </si>
  <si>
    <t>Toggweiler, JR; Samuels, B</t>
  </si>
  <si>
    <t>On the ocean's large-scale circulation near the limit of no vertical mixing</t>
  </si>
  <si>
    <t>ANTARCTIC CIRCUMPOLAR CURRENT; MIXED BOUNDARY-CONDITIONS; WORLD OCEAN; THERMOHALINE CIRCULATION; REALISTIC MODELS; ABYSSAL OCEAN; ENERGY; SENSITIVITY; INSTABILITY; RESPECT</t>
  </si>
  <si>
    <t>By convention, the ocean's large-scale circulation is assumed to be a thermohaline overturning driven by the addition and extraction of buoyancy at the surface and vertical mixing in the interior. Previous work suggests that the overturning should die out as vertical mixing rates are reduced to zero. In this paper, a formal energy analysis is applied to a series of ocean general circulation models to evaluate changes in the large-scale circulation over a range of vertical mixing rates: Two different model configurations are used. One has an open zonal channel and an Antarctic Circumpolar Current (ACC). The other configuration does not. The authors find that a vigorous large-scale circulation persists gt the limit of no mixing in the model with a wind-driven ACC. A wind-powered overturning circulation linked to the ACC can exist without vertical mixing and without much energy input from surface buoyancy forces.</t>
  </si>
  <si>
    <t>NOAA, Geophys Fluid Dynam Lab, Princeton, NJ 08542 USA</t>
  </si>
  <si>
    <t>Toggweiler, JR (corresponding author), NOAA, Geophys Fluid Dynam Lab, POB 308, Princeton, NJ 08542 USA.</t>
  </si>
  <si>
    <t>Toggweiler, J. R./O-5883-2019</t>
  </si>
  <si>
    <t>Toggweiler, J. R./0000-0001-6345-5756</t>
  </si>
  <si>
    <t>10.1175/1520-0485(1998)028&lt;1832:OTOSLS&gt;2.0.CO;2</t>
  </si>
  <si>
    <t>115ZQ</t>
  </si>
  <si>
    <t>WOS:000075696800009</t>
  </si>
  <si>
    <t>Jonkers, HA; Kelley, SP</t>
  </si>
  <si>
    <t>A reassessment of the age of the Cockburn Island Formation, northern Antarctic Peninsula, and its palaeoclimatic implications</t>
  </si>
  <si>
    <t>Antarctica; Pliocene; palaeoclimatology; 40Ar-39Ar; diatoms</t>
  </si>
  <si>
    <t>TRANSANTARCTIC MOUNTAINS; SIRIUS GROUP; DRY VALLEYS; ICE-SHEET; HISTORY; MARINE; IMPACT</t>
  </si>
  <si>
    <t>New constraints on the age of the Cockburn Island Formation, northern Antarctic Peninsula, resulting from whole rock laser-stepped heated 40Ar-39Ar dating of associated basalt and palaeomagnetic re-calibration of the ranges of the formation's fossil diatom taxa, suggest that interglacial conditions existed around 3 million years ago. The refined age of the deposit supports continent-wide Late Pliocene warming in Antarctica, and makes more likely the occurrence of extensive marine incursions in East Antarctica at that time.</t>
  </si>
  <si>
    <t>British Antarctic Survey, NERC, Cambridge CB3 0ET, England; Open Univ, Dept Earth Sci, Milton Keynes MK7 6AA, Bucks, England</t>
  </si>
  <si>
    <t>UK Research &amp; Innovation (UKRI); Natural Environment Research Council (NERC); NERC British Antarctic Survey; Open University - UK</t>
  </si>
  <si>
    <t>Jonkers, HA (corresponding author), British Antarctic Survey, NERC, High Cross,Madingley Rd, Cambridge CB3 0ET, England.</t>
  </si>
  <si>
    <t>H.A.Jonkers@bas.ac.uk</t>
  </si>
  <si>
    <t>Kelley, Simon/AAR-7075-2020</t>
  </si>
  <si>
    <t>Kelley, Simon/0000-0002-1756-0480</t>
  </si>
  <si>
    <t>10.1144/gsjgs.155.5.0737</t>
  </si>
  <si>
    <t>114EN</t>
  </si>
  <si>
    <t>WOS:000075596300001</t>
  </si>
  <si>
    <t>Lewis, T; Nichols, PD; Hart, PR; Nichols, DS; McMeekin, TA</t>
  </si>
  <si>
    <t>Enrichment of rotifers Brachionus plicatilis with eicosapentaenoic acid and docosahexaenoic acid produced by bacteria</t>
  </si>
  <si>
    <t>JOURNAL OF THE WORLD AQUACULTURE SOCIETY</t>
  </si>
  <si>
    <t>FATTY-ACIDS; ANTARCTIC BACTERIUM; N-3; ARTEMIA; FOOD</t>
  </si>
  <si>
    <t>Two bacterial strains, rich in either ei cosapentaenoic acid [EPA, 20:5(n-3)] (Shewanella gelidimarina a ACAM 456) or docosahexaenoic acid [DHA, 22:6(n-3)] (Colwellia psychroerythrus ACAM 605) were tested for their ability to enrich rotifers Brachionus plicatilis in these polyunsaturated fatty acids. Rotifers were exposed for 24 h to each bacterial strain and to a mixture of the two strains. They were then harvested and their fatty acid compositions were analysed and compared to those of rotifers that had been either starved or fed yeast Saccharomyces cerevisiae or microalgae Tetraselmis suecica in 2-L glass flasks. Exposure to 1.4 x 10(9) cells/mL of the EPA-producing bacterium only resulted in rotifer EPA levels increasing from 0.1% to 1.2% of total dry weight (%dw). Similarly, following exposure to 1.0 x 109 cells/mL of the DHA-producing bacterium only, rotifer DHA levels increased from below detection to 0.1% dw. When exposed to a mixture of the two bacterial strains, containing 7.0 x 10(5) cells/mL of the EPA producer and 5.0 x 108 cells/mL of the DHA producer, the rotifers' final EPA and DHA levels were 0.5% dw and 0.3% dw respectively. Although feeding strategies need refining, these results show, for the first time, that rotifers can be enriched with DHA from bacteria, and that rotifers can be enriched simultaneously with both DHA and EPA from different bacterial strains.</t>
  </si>
  <si>
    <t>Univ Tasmania, Antarctic CRC, Hobart, Tas 7001, Australia; Univ Tasmania, Sch Agr Sci, Hobart, Tas 7001, Australia; CSIRO, Marine Res, Hobart, Tas 7001, Australia; Marine Res Labs, Dept Primary Ind &amp; Fisheries, Taroona, Tas 7053, Australia</t>
  </si>
  <si>
    <t>University of Tasmania; University of Tasmania; Commonwealth Scientific &amp; Industrial Research Organisation (CSIRO)</t>
  </si>
  <si>
    <t>Lewis, T (corresponding author), Univ Tasmania, Antarctic CRC, GPO Box 252-54, Hobart, Tas 7001, Australia.</t>
  </si>
  <si>
    <t>Nichols, David/0000-0002-8066-3132</t>
  </si>
  <si>
    <t>WORLD AQUACULTURE SOCIETY</t>
  </si>
  <si>
    <t>BATON ROUGE</t>
  </si>
  <si>
    <t>LOUISIANA STATE UNIV, 143 J M PARKER COLISEUM, BATON ROUGE, LA 70803 USA</t>
  </si>
  <si>
    <t>0893-8849</t>
  </si>
  <si>
    <t>J WORLD AQUACULT SOC</t>
  </si>
  <si>
    <t>J. World Aquacult. Soc.</t>
  </si>
  <si>
    <t>10.1111/j.1749-7345.1998.tb00652.x</t>
  </si>
  <si>
    <t>120XZ</t>
  </si>
  <si>
    <t>WOS:000075984200006</t>
  </si>
  <si>
    <t>Direct and interactive effects of allochthonous dissolved organic matter, inorganic nutrients, and ultraviolet radiation on an alpine littoral food web</t>
  </si>
  <si>
    <t>FRESH-WATER ECOSYSTEMS; EXPERIMENTAL LAKES AREA; UV-B RADIATION; PRECAMBRIAN SHIELD LAKES; MOUNTAIN-NATIONAL-PARK; BENTHIC ALGAE; ANTARCTIC CYANOBACTERIA; PERIPHYTON ASSEMBLAGES; NORTHWESTERN ONTARIO; COMMUNITY STRUCTURE</t>
  </si>
  <si>
    <t>Allochthonous dissolved organic matter (DOM) may regulate littoral food webs by both modifying nutrient availability and attenuating potentially damaging ultraviolet radiation (UVR). These hypotheses were tested in a three-factor (DOM, inorganic nutrients, and WR) experiment using 24 littoral enclosures in an alpine lake located in Banff National Park, Canada. DOM was extracted from treeline soils and added (3 mg DOM liter(-1)) to +DOM enclosures over 1 month. These amendments were intended to simulate increases in allochthonous inputs that might occur as climate warming promotes the development of treeline soils and vegetation. DOM amendments significantly increased epilithon biomass (as total chlorophyll, carotenoids) but did not affect the abundance of either epipelon or phytoplankton. in addition, natural UV irradiance significantly enhanced the positive effect of DOM on epilithon and directly increased the abundance of epipelon. Threefold amendments of ambient nitrogen (N) and phosphorus (P) (20 N:1 P, by weight) significantly increased epilithon abundance. The positive effects of DOM, NP, and UVR on phytobenthos were primarily attributable to the increased abundance of diatoms, whereas NP affected phytoplankton by increasing chrysophytes and dinoflagellates. DOM amendments did not significantly affect the final abundances of heterotrophic bacteria and protists but did result in significantly higher densities of omnivorous copepod nauplii. These results show that allochthonous DOM is an important resource for littoral food webs in oligotrophic lakes; however, its effects are mediated by UVR and differ between benthic and planktonic habitats. Our findings suggest that littoral food-web structure in clear, shallow lakes and ponds is altered by fluctuations in allochthonous inputs and UVR exposure arising from droughts and long-term climatic change.</t>
  </si>
  <si>
    <t>Univ Regina, Dept Biol, Limnol Lab, Regina, SK S4S 0A2, Canada</t>
  </si>
  <si>
    <t>Vinebrooke, RD (corresponding author), Univ Alberta, Dept Biol Sci, Edmonton, AB, Canada.</t>
  </si>
  <si>
    <t>Leavitt, Peter R/0000-0001-9805-9307;</t>
  </si>
  <si>
    <t>10.4319/lo.1998.43.6.1065</t>
  </si>
  <si>
    <t>135GC</t>
  </si>
  <si>
    <t>WOS:000076791700004</t>
  </si>
  <si>
    <t>Bryan, PJ; McClintock, JB; Baker, BJ</t>
  </si>
  <si>
    <t>Population biology and antipredator defenses of the shallow-water Antarctic nudibranch Tritoniella belli</t>
  </si>
  <si>
    <t>CHEMICAL DEFENSES; OPISTHOBRANCHIA; GASTROPODA; SOUND; ELIOT; DIET</t>
  </si>
  <si>
    <t>The circumpolar nudibranch Tritoniella belli Eliot occurs in abundance in shallow-water benthic communities of McMurdo Sound, Antarctica. Density estimates based on belt transects averaged collectively 0.46 individuals m(-2) at three study sites between depths of 6 and 30 m in November 1996. At two of the sites, population densities increased linearly between 18 and 30 m depth (up to 0.7 and 1.15 individuals m(-2) at 30 m depth). Individuals at all sites were rare or absent at depths shallower than 12 m. Size frequencies of individuals at the sites were similar, and a pooled analysis revealed a unimodal distribution skewed highly towards juvenile size classes. This suggests both recent recruitment and constant rates of mortality across size classes. The relationship between foot length and wet weight best fits an exponential growth equation, indicative of an allometric growth pattern. Distribution of T. belli in the field suggests that it is a habitat and diet generalist. Potential invertebrate predators include sea anemones and seastars, both of which co-occur in abundance in McMurdo Sound. Laboratory experiments indicate that the sea anemone Isotealia antarctica can capture and ingest T. belli. However, 70% of T. belli that are captured escape from the tentacles or, following ingestion, are rejected from the gastrovascular cavity. The seastars Odontaster validus, Perknaster fuscus, and Acodontaster conspicuus, avoid contact with T. belli, but if forced into contact with mantle tissues, retract their tube-feet. Mucus secreted from the mantle tissues, coated on to the tips of glass rods, and presented to seastar tube-feet, causes significantly longer tube-foot retraction times than control rods. Moreover, pieces of freeze-dried krill coated with mantle mucus are consumed significantly less often than untreated control pieces of krill by a benthic scavenging fish (Pseudotrematomas bernacchi). Employing seastar tube-foot retractions as a bioassay, we found the bioactive compound(s) are soluble in ethyl acetate, indicating they are lipophilic or moderately hydrophilic in nature. Chemical defenses in the mucus of T. belli probably contribute to its high abundance in Antarctic benthic communities.</t>
  </si>
  <si>
    <t>Univ Alabama, Dept Biol, Birmingham, AL 35294 USA; Florida Inst Technol, Dept Chem, Melbourne, FL 32901 USA</t>
  </si>
  <si>
    <t>Bryan, PJ (corresponding author), Wrigley Inst Environm Studies, POB 5069,1 Big Fisherman Cove, Avalon, CA 90704 USA.</t>
  </si>
  <si>
    <t>pbryan@wrigley.usc.edu</t>
  </si>
  <si>
    <t>10.1007/s002270050391</t>
  </si>
  <si>
    <t>129FT</t>
  </si>
  <si>
    <t>WOS:000076453700009</t>
  </si>
  <si>
    <t>Brey, T; Gutt, J; Mackensen, A; Starmans, A</t>
  </si>
  <si>
    <t>Growth and productivity of the high Antarctic bryozoan Melicerita obliqua</t>
  </si>
  <si>
    <t>POPULATION-DYNAMICS; ISOTOPE PROFILES; WEDDELL SEA; ECHINODERMATA; INVERTEBRATES; ECHINOIDEA; CARBON; SHELF</t>
  </si>
  <si>
    <t>We analysed growth of the Antarctic bryozoan Melicerita obliqua (Thornely, 1924) by x-ray photography and stable isotope analysis, M. obliqua colonies form one segment per year, thus attaining maximum length of about 200 mm within 50 years. In the Weddell and Lazarev Seas, annual production/biomass ratio of M. obliqua is 0.1 yr(-1), which is in the range of other Antarctic benthic invertebrate populations. Production amounts to 3.34 mg C-org m(-2) yr(-1) and 90.6 mg ash m(-2) yr(-1) on the shelf (100 to 600 m water depth). and to 0.13 mg C-org m(-2) yr(-1) and 36.8 mg ash m(-2) yr(-1) on the slope (600 to 1250 m water depth).</t>
  </si>
  <si>
    <t>Alfred Wegener Inst Polar &amp; Marine Res, POB 120161, D-27576 Bremerhaven, Germany.</t>
  </si>
  <si>
    <t>; Mackensen, Andreas/J-8600-2013</t>
  </si>
  <si>
    <t>Starmans, Andreas/0000-0001-8829-0054; Gutt, Julian/0000-0003-3773-9370; Brey, Thomas/0000-0002-6345-2851; Mackensen, Andreas/0000-0002-5024-4455</t>
  </si>
  <si>
    <t>10.1007/s002270050398</t>
  </si>
  <si>
    <t>WOS:000076453700016</t>
  </si>
  <si>
    <t>Odmark, S; Wulff, A; Wängberg, SÅ; Nilsson, C; Sundbäck, K</t>
  </si>
  <si>
    <t>Effects of UVB radiation in a microbenthic community of a marine shallow-water sandy sediment</t>
  </si>
  <si>
    <t>ULTRAVIOLET-B RADIATION; ANTARCTIC PHYTOPLANKTON; SPECIES COMPOSITION; LIPID-COMPOSITION; GROWTH-RATES; BIOMASS; DIATOM; PHOTOSYNTHESIS; CYANOBACTERIA; ECOSYSTEMS</t>
  </si>
  <si>
    <t>The role of ambient and enhanced ultraviolet-B radiation (UVB; 280 to 315 nm) in a natural sand-associated microbenthic community was studied in a 3-week experiment by incubating intact sediment cores from a shallow bay in an outdoor flow-through system with 27 aquaria. After sampling of initial cores, the remaining cores tone per aquarium) were given one of three treatments: no, ambient, and moderately enhanced UVB, and sampled, nine at a time, after 5, 12, and 19 d. The response of the community was studied by analysing algal and meiofaunal composition and biomass, chlorophyll a content, composition of pigments and fatty acids, and content of UV-absorbing compounds (state variables), as well as carbon fixation and allocation, and bacterial productivity (rate variables). Among rate variables, significant effects of UVB-treatments were found for carbon fixation and allocation, while bacterial productivity was not affected. For state variables, a significant response was observed for the composition of microalgae and fatty acids, and for chlorophyll a content. The effect of treatments was mainly observed as differences in development with time (two-way analysis of variance, treatment x time interaction). Towards the end of the experiment, the no-UVB treatment most often differed from one or both of the two treatments with UVB exposure, the latter showing lower values. There were marked successional changes in the community, irrespective of treatment. The microalgal community changed from being dominated by coccoid cyanobacteria and epipsammic diatoms to a dominance of epipelic diatoms and filamentous cyanobacteria. The pattern of carbon allocation, as well as an increased C/N ratio of the sediment, suggested limitation of growth, perhaps by nutrients, at the end of the experiment. This may possibly have acted synergistically with UVB exposure to create the treatment effects. The new knowledge gained from our experiment is that ambient UVB can exert a stress on the function of sand-associated microbenthic communities in shallow waters and that this effect coincides with structural differences in the community.,More experiments in natural or semi-natural systems are needed to allow better prediction of microbenthic community-level responses to UVB.</t>
  </si>
  <si>
    <t>Univ Gothenburg, Dept Marine Bot, SE-40530 Gothenburg, Sweden; Univ Gothenburg, Dept Plant Physiol, SE-40530 Gothenburg, Sweden</t>
  </si>
  <si>
    <t>University of Gothenburg; University of Gothenburg</t>
  </si>
  <si>
    <t>Univ Gothenburg, Dept Marine Bot, Box 461, SE-40530 Gothenburg, Sweden.</t>
  </si>
  <si>
    <t>10.1007/s002270050399</t>
  </si>
  <si>
    <t>WOS:000076453700017</t>
  </si>
  <si>
    <t>Harris, PT; Coleman, R</t>
  </si>
  <si>
    <t>Estimating global shelf sediment mobility due to swell waves</t>
  </si>
  <si>
    <t>continental shelves; sediments; waves; sediment mobility</t>
  </si>
  <si>
    <t>CONTINENTAL-SHELF; TRANSPORT; BOTTOM; THRESHOLD; MOVEMENT; MODEL</t>
  </si>
  <si>
    <t>Global climate models (GCMs), such as those produced at the European Centre for Medium-Range Weather Forecasts (ECMWF), generate data that are relevant to the study of marine sedimentary processes. We used estimates of significant wave height and period, derived from an ECMWF GCM, to predict for the first time the area of continental shelves over which sediment is mobilised. The wave climatology was such that 0.1 mm diameter quartz sand had the potential to be mobilised on at least one occasion between July 1992 and July 1995 over 41.6% of the earth's continental shelves. The North Atlantic region has the most energetic global wave climate, strong enough to mobilise 0.1 mm diameter quartz sand to water depths of up to 234 m at least once over a 3-year period. (C) 1998 Elsevier Science B.V. All rights reserved.</t>
  </si>
  <si>
    <t>Antarctic CRC, Hobart, Tas 7001, Australia; Australian Geol Survey Org, Hobart, Tas 7001, Australia; Univ Tasmania, Dept Surveying &amp; Spatial Informat Sci, Hobart, Tas 7001, Australia; CSIRO, Div Oceanog, Hobart, Tas 7001, Australia</t>
  </si>
  <si>
    <t>Geoscience Australia; University of Tasmania; Commonwealth Scientific &amp; Industrial Research Organisation (CSIRO)</t>
  </si>
  <si>
    <t>p.harris@utas.edu.au</t>
  </si>
  <si>
    <t>Harris, Peter/AAI-7100-2020; Harris, Peter T/C-6997-2009; Coleman, Richard/H-4425-2012</t>
  </si>
  <si>
    <t>Coleman, Richard/0000-0002-9731-7498</t>
  </si>
  <si>
    <t>1872-6151</t>
  </si>
  <si>
    <t>10.1016/S0025-3227(98)00040-1</t>
  </si>
  <si>
    <t>136ZU</t>
  </si>
  <si>
    <t>WOS:000076889600010</t>
  </si>
  <si>
    <t>Niebler, HS; Gersonde, R</t>
  </si>
  <si>
    <t>A planktic foraminiferal transfer function for the southern South Atlantic Ocean</t>
  </si>
  <si>
    <t>MARINE MICROPALEONTOLOGY</t>
  </si>
  <si>
    <t>planktic foraminifera; recent; South Atlantic; Antarctic Ocean; biogeography; transfer function</t>
  </si>
  <si>
    <t>INDIAN-OCEAN; NEOGLOBOQUADRINA-PACHYDERMA; VERTICAL-DISTRIBUTION; ISOTOPIC COMPOSITION; NORTH-ATLANTIC; SARGASSO SEA; SEDIMENTS; CIRCULATION; SECTOR; RADIOLARIAN</t>
  </si>
  <si>
    <t>Quantitative analysis of planktic foraminiferal assemblages in 81 surface sediment samples from 20 degrees S (Subtropical Gyre) to 55 degrees S (Antarctic Zone) in the South Atlantic Ocean documents a close relationship between species distribution and austral summer surface water temperature. A data set including the abundance pattern of 25 taxa and morphotypes was used to establish a transfer function based on the definition of five factors. Altogether these factors account for 97% of the total variance of the original data and their geographic distribution is closely linked to sea-surface temperatures. The transfer function 'F81-25-5' allows reconstruction of late Quaternary summer surface water temperatures in the boundary region between the Antarctic cold and subtropical warm water realm (0.5 degrees to 26.0 degrees C). The statistical error for modern data is +/-1.3 degrees C. (C) 1998 Elsevier Science B.V. All rights reserved.</t>
  </si>
  <si>
    <t>Niebler, HS (corresponding author), Univ Bremen, Fachbereich Geowissensch, Klagenfurter Str, D-28359 Bremen, Germany.</t>
  </si>
  <si>
    <t>niebler@uni-bremen.de</t>
  </si>
  <si>
    <t>0377-8398</t>
  </si>
  <si>
    <t>1872-6186</t>
  </si>
  <si>
    <t>MAR MICROPALEONTOL</t>
  </si>
  <si>
    <t>Mar. Micropaleontol.</t>
  </si>
  <si>
    <t>10.1016/S0377-8398(98)00009-7</t>
  </si>
  <si>
    <t>140UB</t>
  </si>
  <si>
    <t>WOS:000077105800004</t>
  </si>
  <si>
    <t>Kagi, H; Takahashi, K</t>
  </si>
  <si>
    <t>Relationship between positive cerium anomaly and adsorbed water in Antarctic lunar meteorites</t>
  </si>
  <si>
    <t>GENETIC-IMPLICATIONS; REE; PATTERNS; SR</t>
  </si>
  <si>
    <t>Concentrations of adsorbed water in single mineral grains of Antarctic lunar meteorites were determined with micro infrared (IR) spectroscopy. A relationship was found between the mineral's ability to adsorb water and the extent of Ce anomaly in rare earth element (REE) patterns precisely determined by the isotope dilution method using a thermal ionization mass spectrometer. Asuka (A) 881757, a lunar meteorite from the mare basalt without Ce anomaly, showed no trace of IR absorption due to adsorbed water. On the contrary, Yamato (Y) 791197-109, Y-86032-98, Y-86032-95, Y-791197-115 and Y-82192-55A from the lunar highland exhibiting positive Ce anomaly showed IR absorption due to adsorbed water in some of their minerals. The detected water would be of terrestrial origin, because it was not structurally bound and easy to exchange judging from the spectral band shape. The contrast in concentration of adsorbed water between the lunar highland and the mare basalt is derived from a difference in the density of microfractures in mineral grains. Average concentrations of adsorbed water in the lunar highland meteorites were 3.8 mg/cm(3) for pyroxene and olivine, and 1.7 mg/cm(3) for plagioclase. This contrast between minerals is noteworthy because it has been known that Ce anomaly of pyroxene and olivine is larger than that of plagioclase both for Antarctic lunar meteorites and some lunar rocks. Furthermore, more adsorbed water was detected for minerals in meteorites that exhibit larger Ce anomaly. The present observations demonstrate that the extent of Ce anomaly correlated with the concentration of adsorbed water, which suggests that active mineral surface resulting in adsorption of water could be a trace of interaction forming Ce anomaly. Terrestrial weathering on Antarctica and REE fractionation on the Moon are discussed for possible origins of the Ce anomaly.</t>
  </si>
  <si>
    <t>Univ Tokyo, Grad Sch Sci, Earthquake Chem Lab, Tokyo 1130033, Japan; SUNY Stony Brook, Dept Geosci, Stony Brook, NY 11794 USA; SUNY Stony Brook, Ctr High Pressure Res, Stony Brook, NY 11794 USA; Inst Phys &amp; Chem Res, Wako, Saitama 35101, Japan</t>
  </si>
  <si>
    <t>University of Tokyo; State University of New York (SUNY) System; State University of New York (SUNY) Stony Brook; State University of New York (SUNY) System; State University of New York (SUNY) Stony Brook; RIKEN</t>
  </si>
  <si>
    <t>Kagi, H (corresponding author), Univ Tokyo, Grad Sch Sci, Earthquake Chem Lab, Tokyo 1130033, Japan.</t>
  </si>
  <si>
    <t>kagi@eqchem.s.u-tokyo.ac.jp</t>
  </si>
  <si>
    <t>Kagi, Hiroyuki/G-4915-2014; Takahashi, kazuyat/U-3232-2018</t>
  </si>
  <si>
    <t>Takahashi, kazuyat/0000-0002-5104-2601</t>
  </si>
  <si>
    <t>10.1111/j.1945-5100.1998.tb01710.x</t>
  </si>
  <si>
    <t>131BD</t>
  </si>
  <si>
    <t>WOS:000076555100010</t>
  </si>
  <si>
    <t>Marshall, WA</t>
  </si>
  <si>
    <t>Aerial transport of keratinaceous substrate and distribution of the fungus Geomyces pannorum in Antarctic soils</t>
  </si>
  <si>
    <t>KERATINOPHILIC FUNGI; TEMPERATURE; ALGAE</t>
  </si>
  <si>
    <t>Aerobiological sampling was conducted year-round at three sites on Signy Island, maritime Antarctic, between December 1992 and January 1994, and during the summer at a fourth coastal site. The concentrations of keratinaceous particles were monitored. Feather fragments were the most abundant of all particle types trapped. Seal hairs were also common, particularly on the coast. Numbers of both particle types were most common in the air in summer. The Antarctic soil fungus Geomyces pannorum, which is able to utilize keratin-based substrates, was also present in aerobiological samples on Signy Island. G. pannorum was only found during early winter on the year-round sampling sites. It was more abundant during summer in the air at the coastal site, which was more heavily influenced by seals, birds and humans. Skuas were swabbed when they returned to the island early in summer. G. pannorum was recovered in culture, suggesting that these birds may act as vectors for the transport of microorganisms between Antarctica and more northern landmasses. Organic material deposited on snow was concentrated on the soil at the edge of the ice cap by melt wash, making additional keratin and other organic substrates available to soil microorganisms.</t>
  </si>
  <si>
    <t>Marshall, WA (corresponding author), British Antarctic Survey, High Cross,Madingley Rd, Cambridge CB3 0ET, England.</t>
  </si>
  <si>
    <t>10.1007/s002489900108</t>
  </si>
  <si>
    <t>107XP</t>
  </si>
  <si>
    <t>WOS:000075236500011</t>
  </si>
  <si>
    <t>Connor, HE</t>
  </si>
  <si>
    <t>Breeding systems in New Zealand grasses - XII. Cleistogamy in Festuca</t>
  </si>
  <si>
    <t>Festuca; F-contracta; F-madida; Gramineae; cleistogamy; evolution; New Zealand; botanical region; peri-Antarctic islands</t>
  </si>
  <si>
    <t>POACEAE</t>
  </si>
  <si>
    <t>Cleistogamy in Festuca of a very simple form with floral expression primarily in anther size; it is a very low frequency phenomenon that occurs almost habitually in F. contracta on several peri-Antarctic islands, and in F. madida of Campbell Island and at high altitudes on the main islands of temperate New Zealand. Facultative cleistogamy occurs in Far East Arctic species, and in F. abyssinica of Africa. Reproduction in Festuca as a whole is centred around self-incompatibility; departures to cleistogamy are very simple evolutionary steps and do not compare for frequency and morphological development with that in the closely related genus Vulpia.</t>
  </si>
  <si>
    <t>Univ Canterbury, Dept Geog, Christchurch 1, New Zealand</t>
  </si>
  <si>
    <t>Univ Canterbury, Dept Geog, Christchurch 1, New Zealand.</t>
  </si>
  <si>
    <t>1175-8643</t>
  </si>
  <si>
    <t>10.1080/0028825X.1998.9512585</t>
  </si>
  <si>
    <t>129HB</t>
  </si>
  <si>
    <t>WOS:000076456800013</t>
  </si>
  <si>
    <t>Grotov, AS; Nechayev, DA; Panteleev, GG; Yaremchuk, MI</t>
  </si>
  <si>
    <t>Large scale circulation in the Ross Sea reconstructed by the variational method</t>
  </si>
  <si>
    <t>ICE SHELF; OCEAN</t>
  </si>
  <si>
    <t>Using the variational method of data assimilation for WOCE S4 hydrological section along 67S, the tangential wind stress and hydrographic data in the stationary model of the ocean, the major features of large scale circulation in the Ross Sea basin and adjacent waters are obtained. The calculated velocity fields are in good agreement with independent current measurements in the region. Taking into account the influence of boundary layer on the vertical rigid boundary allows us to reveal some parts of coastal circulation that correspond to real currents on the shelf of the Antarctic.</t>
  </si>
  <si>
    <t>Grotov, AS (corresponding author), PP Shirshov Oceanol Inst, Moscow, Russia.</t>
  </si>
  <si>
    <t>146KA</t>
  </si>
  <si>
    <t>WOS:000077426800002</t>
  </si>
  <si>
    <t>Dingle, RV; Lavelle, M</t>
  </si>
  <si>
    <t>Late Cretaceous Cenozoic climatic variations of the northern Antarctic Peninsula: new geochemical evidence and review</t>
  </si>
  <si>
    <t>PALAEOGEOGRAPHY PALAEOCLIMATOLOGY PALAEOECOLOGY</t>
  </si>
  <si>
    <t>Antarctic Peninsula; Cretaceous; Cenozoic; palaeoclimates; sedimentary geochemistry</t>
  </si>
  <si>
    <t>JAMES-ROSS-ISLAND; PALEOGENE; EOCENE</t>
  </si>
  <si>
    <t>Aptian to Pliocene time-series of X-ray fluorescence data from the Antarctic Peninsula are used to assess the degree of chemical weathering and maturity of sediments deposited prior, and subsequent to the establishment of glaciation in West Antarctica. A continuous palaeoclimatic signal is inferred from comparing the results with previously published palaeotemperature and palaeobotanical data. Aptian-Cenomanian (warm/cool), and Santonian-Early Paleocene (warm/cold) cycles were followed by the global Late Paleocene-Early Eocene climatic optimum. Subsequent steady decline in temperatures resulted in glacial conditions in the northern Antarctic Peninsula by Early Oligocene time. Under alternating Cenozoic frigid/cold climates and in sedimentary regimes dominated by physical weathering, geochemical signatures were primarily indicative of provenance. The development of Cretaceous arboreal vegetation in the northern Antarctic Peninsula can be correlated with the major climatic cycles. (C) 1998 Elsevier Science B.V. All rights reserved.</t>
  </si>
  <si>
    <t>British Antarctic Survey, Cambridge CB3 0ET, England; Univ Cambridge, Dept Earth Sci, Cambridge CB2 3EQ, England</t>
  </si>
  <si>
    <t>UK Research &amp; Innovation (UKRI); Natural Environment Research Council (NERC); NERC British Antarctic Survey; University of Cambridge</t>
  </si>
  <si>
    <t>0031-0182</t>
  </si>
  <si>
    <t>PALAEOGEOGR PALAEOCL</t>
  </si>
  <si>
    <t>Paleogeogr. Paleoclimatol. Paleoecol.</t>
  </si>
  <si>
    <t>10.1016/S0031-0182(98)00056-X</t>
  </si>
  <si>
    <t>Geography, Physical; Geosciences, Multidisciplinary; Paleontology</t>
  </si>
  <si>
    <t>Physical Geography; Geology; Paleontology</t>
  </si>
  <si>
    <t>ZZ082</t>
  </si>
  <si>
    <t>WOS:000074693900003</t>
  </si>
  <si>
    <t>Heusser, CJ</t>
  </si>
  <si>
    <t>Deglacial paleoclimate of the American sector of the Southern Ocean:: Late Glacial-Holocene records from the latitude of Canal Beagle (55°S), Argentine Tierra del Fuego</t>
  </si>
  <si>
    <t>paleoclimate; chronology; deglaciation; Tierra del Fuego</t>
  </si>
  <si>
    <t>LAST GLACIAL/INTERGLACIAL TRANSITION; YOUNGER DRYAS AGE; LATE QUATERNARY; NEW-ZEALAND; CHILEAN CHANNELS; WESTERN TASMANIA; CLIMATIC CHANGES; FOSSIL BEETLE; VEGETATION; POLLEN</t>
  </si>
  <si>
    <t>Paleoclimate at the time of deglaciation (14,000-10,000 C-14 yr B.P.) in different sectors of the Southern Ocean has followed a continuous warming trend, but also warming broken by a transitory episode, the Younger Dryas stadial event, during which on the order of a millennium, colder conditions prevailed. Evidence is from Antarctic ice cores, deep-sea cores, glacier fluctuations, and pollen and beetle records. Reasons for the apparent nonuniformity include differential sensitivity of each sector to climatic change, uneven dating control, and the variable forcing-response nature of biota used as climatic indicators. Establishing the Late Glacial paleoclimate of the Southern Ocean is of significance, as it bears on comprehending the character of deglaciation in a global context. With the object of investigating further the sequence of deglacial climatic events, pollen stratigraphic studies at Canal Beagle at the southern extremity of South America were extended westward to the vicinity of Ushuaia and Lapataia, supplementing work done previously at Caleta Robalo, Puerto Harberton, and Bahia Moat. At Ushuaia, pollen frequency and influx records of the Late Glacial, as well as the Holocene, chronologically controlled by 25 C-14-age determinations, are from four Sphagnum-Empetrum mires. Results obtained at sites dating from 12,500 to 12,000 yr B.P. show Late Glacial climatic variability. Most indicative among tundra communities of grass and dwarf shrub heath is a drop both in frequency and influx of the singular arboreal component Nothofagus at the time of the Younger Dryas, when estimated summer (January) temperature was greater than or equal to 3 degrees C lower than at present at Ushuaia. In general terms, the Late Glacial pattern is not unlike the northwestern European sequence (sensu Walker, 1995), which exhibits a Late Glacial interstadial (13,000-11,000 yr B.P.) followed by a Younger Dryas stadial (11,000-10,000 yr B.P.). Within limits of the chronology in the American sector, there is no indication, as shown by marine cores from the Southern Ocean and by Antarctic ice cores, that deglacial climatic events at higher latitudes of the Southern Hemisphere, exemplified by the Younger Dryas, lead similar events in the Northern Hemisphere. Uninterrupted warming evident in the marine and ice cores occurred after 11,600-11,500 yr B.P; at Canal Beagle, in contrast, the trend toward steadily milder climate, indicated by continuous expansion of Nothofagus frequency, followed in the early Holocene after 10,000 yr B.P. Early Holocene Nothofagus woodland containing grass and composites replaced tundra under a warmer and drier set of conditions coupled with burning. Estimated summer temperature averaged similar to 1 degrees C higher than today and annual precipitation similar to 100 mm less. Pollen influx remained generally low until about 5000 yr B.P., when the rate of Nothofagus greatly increased together with increase in the rate of Empetrum, a characteristic mire component. The implication is of late Holocene spread of both closed forest and mire, the result of greater precipitation and lower temperatures, while burning abated. Summer temperatures evidently varied within about 0.5 degrees C and precipitation by similar to 100 mm compared with the present. Renewed, albeit fluctuating, glacial activity is recorded after 5000 yr B.P. under a variable, cooler and more humid, late Holocene climatic regime. (C) 1998 Elsevier Science B.V. All rights reserved.</t>
  </si>
  <si>
    <t>Heusser, CJ (corresponding author), 100 Clinton Rd, Tuxedo Park, NY 10987 USA.</t>
  </si>
  <si>
    <t>10.1016/S0031-0182(98)00053-4</t>
  </si>
  <si>
    <t>WOS:000074693900006</t>
  </si>
  <si>
    <t>Feldmann, RM; Crame, JA</t>
  </si>
  <si>
    <t>The significance of a new nephropid lobster from the Miocene of Antarctica</t>
  </si>
  <si>
    <t>DECAPODA</t>
  </si>
  <si>
    <t>The nephropid lobster, Hoploparia gazdzicki sp. nov., is described from Early Miocene glaciomarine sedimentary rocks of King George Island, South Shetland Islands, Antarctica. Such an occurrence considerably extends the stratigraphical range of a widespread lobster genus that reached its acme in the Late Cretaceous. The previous youngest records were from the Eocene of western Europe, and it would appear that, by the Early Miocene, the genus may have become a relict in relatively cold and deep waters in Antarctica. Although the full. phylogenetic implications of this extension to the stratigraphical range are not yet apparent, there are some important palaeoecological ones. This occurrence can be taken as a further indication that certain benthic decapods were able to survive the onset of glacio-marine conditions in Antarctica. Perhaps other factors, such as the availability of food, habitat space, or decline in seasonal temperature fluctuation, ultimately controlled the decline of this major benthic group in the Southern Ocean.</t>
  </si>
  <si>
    <t>Kent State Univ, Dept Geol, Kent, OH 44242 USA; British Antarctic Survey, Cambridge CB3 0ET, England</t>
  </si>
  <si>
    <t>University System of Ohio; Kent State University; Kent State University Salem; Kent State University Kent; UK Research &amp; Innovation (UKRI); Natural Environment Research Council (NERC); NERC British Antarctic Survey</t>
  </si>
  <si>
    <t>Feldmann, RM (corresponding author), Kent State Univ, Dept Geol, Kent, OH 44242 USA.</t>
  </si>
  <si>
    <t>131FY</t>
  </si>
  <si>
    <t>WOS:000076566500001</t>
  </si>
  <si>
    <t>Webb, NR; Coulson, SJ; Hodkinson, ID; Block, W; Bale, JS; Strathdee, AT</t>
  </si>
  <si>
    <t>The effects of experimental temperature elevation on populations of cryptostigmatic mites in high Arctic soils</t>
  </si>
  <si>
    <t>PEDOBIOLOGIA</t>
  </si>
  <si>
    <t>Arctic; climate change; oribatid mites; populations; temperature; Svalbard</t>
  </si>
  <si>
    <t>ENVIRONMENTAL-CHANGE; ORIBATID MITES; CLIMATE-CHANGE; RESPONSES</t>
  </si>
  <si>
    <t>Soil warming experiments were conducted in tundra heath and polar semi-desert soils at the High Arctic location of Ny-Alesund, West Spitsbergen, Svalbard. The warming treatment resulted in an 8-10% increase in the annual thermal budget for soil-dwelling oribatid mites (Crytptostigmata). Samples of the oribatid mite populations were taken during three summers using high gradient extractors, from warmed and control plots. Changes in population density were analysed for six species of oribatid mite. The oribatid mite fauna of these soils is well adapted to a wide temperature range and responds to short-term changes in the soil microclimate. There was little evidence from this three-year experiment that persistent above normal temperatures affected population growth rates.</t>
  </si>
  <si>
    <t>Inst Terr Ecol, Furzebrook Res Stn, Wareham BH20 5AS, Dorset, England; Liverpool John Moores Univ, Sch Biol &amp; Earth Sci, Liverpool L3 3AF, Merseyside, England; British Antarctic Survey, NERC, Cambridge CB3 0ET, England; Univ Birmingham, Sch Biol Sci, Birmingham B15 2TT, W Midlands, England</t>
  </si>
  <si>
    <t>UK Centre for Ecology &amp; Hydrology (UKCEH); Liverpool John Moores University; UK Research &amp; Innovation (UKRI); Natural Environment Research Council (NERC); NERC British Antarctic Survey; University of Birmingham</t>
  </si>
  <si>
    <t>Webb, NR (corresponding author), Inst Terr Ecol, Furzebrook Res Stn, Wareham BH20 5AS, Dorset, England.</t>
  </si>
  <si>
    <t>Coulson, Stephen James/0000-0003-0935-959X</t>
  </si>
  <si>
    <t>0031-4056</t>
  </si>
  <si>
    <t>Pedobiologia</t>
  </si>
  <si>
    <t>119RH</t>
  </si>
  <si>
    <t>WOS:000075910600002</t>
  </si>
  <si>
    <t>Arnold, RJ; Convey, P</t>
  </si>
  <si>
    <t>The life history of the diving beetle, Lancetes angusticollis (Curtis) (Coleoptera: Dytiscidae), on sub-Antarctic South Georgia</t>
  </si>
  <si>
    <t>TEMPERATURE ELEVATION; LAKES; POPULATION; ISLANDS</t>
  </si>
  <si>
    <t>Two populations of the world's most southerly diving beetle (Lancetes angusticollis) were studied on sub-Antarctic South Georgia between November 1995 and April 1996. Parallel observations were made on laboratory cultures of each life stage. All juvenile stages of L. angusticollis are voracious predators, preying mainly on the herbivorous copepod Boeckella poppei. Adult beetles additionally predate benthic ostracods. Laboratory predation rates and held population densities found in this study suggest that L. angusticollis has a more significant impact on its prey than recognised in recent studies of South Georgian lakes. Spring field samples contained only a few individuals of larval instar IV and adults. Young larvae were present from December onwards, with a rapid progression through juvenile instars during the summer months. Fourth instar larvae left the water for pupation between mid-December and at least mid-February. Combining these observations with known developmental threshold temperatures for each life stage implies that L. angusticollis has a complex biennial (minimum) life-cycle, with overwintering possible in three life stages [aquatic larvae, terrestrial pupae (not proven) and aquatic adults]. L. angusticollis may be a suitable indicator species in the context of climate warming studies: a small (1 degrees C) rise in mean environmental temperatures, comparable to that already observed at several sub-Antarctic and maritime Antarctic localities, would allow completion of an annual (univoltine) life-cycle, with concomitant rapid population increase, and serious implications for trophic interactions in these simple lake ecosystems.</t>
  </si>
  <si>
    <t>10.1007/s003000050291</t>
  </si>
  <si>
    <t>117MF</t>
  </si>
  <si>
    <t>WOS:000075784600001</t>
  </si>
  <si>
    <t>Jackson, GD; George, MJA; Buxton, NG</t>
  </si>
  <si>
    <t>Distribution and abundance of the squid Moroteuthis ingens (Cephalopoda: Onychoteuthidae) in the Falkland Islands region of the South Atlantic</t>
  </si>
  <si>
    <t>ALBATROSS DIOMEDEA-EXULANS; ANTARCTIC MARION ISLAND; NEW-ZEALAND WATERS; WANDERING ALBATROSSES; MIROUNGA-LEONINA; PATAGONIAN SHELF; CROZET ISLANDS; PENGUIN CHICKS; ELEPHANT SEALS; POLAR FRONT</t>
  </si>
  <si>
    <t>The distribution and abundance of the onychoteuthid squid Moroteuthis ingens were assessed for the Patagonian Shelf in the Falkland Islands region. Catch records from the commercial fishery and a research cruise were recorded from 1988 to 1996. Sampling included benthic, pelagic and semi-pelagic trawls and jigging. Moroteuthis ingens was recorded from 1,414 stations out of a total of 9,060 stations with 79.9% of all positive stations being from benthic trawls. Catch size ranged up to approximately 3,000 kg. The length frequency analysis and maturity indices suggested a major recruitment onto the shelf in September with a movement off the shelf during winter. There appears to be a lack of mature females on the Patagonian Shelf, indicating that females migrate into deeper offshore water to spawn. Observations of predation on Moroteuthis ingens on the Patagonian Shelf, along with a literature review, revealed that at least 4 mammal, 17 bird and 13 fish species prey on this squid.</t>
  </si>
  <si>
    <t>James Cook Univ N Queensland, Dept Marine Biol, Townsville, Qld 4811, Australia; Falkland Isl Govt Fisheries Dept, Stanley, Falkland Isl, England</t>
  </si>
  <si>
    <t>Jackson, GD (corresponding author), James Cook Univ N Queensland, Dept Marine Biol, Townsville, Qld 4811, Australia.</t>
  </si>
  <si>
    <t>george.jackson@jcu.edu.au</t>
  </si>
  <si>
    <t>George, Magnus/0000-0002-3347-2966</t>
  </si>
  <si>
    <t>10.1007/s003000050292</t>
  </si>
  <si>
    <t>WOS:000075784600002</t>
  </si>
  <si>
    <t>Silva, JRMC; Hernadez-Blazquez, FJ; Barbieri, RL</t>
  </si>
  <si>
    <t>Induced inflammatory process in the Antarctic fish Notothenia neglecta</t>
  </si>
  <si>
    <t>SEASONAL-VARIATIONS; IMMUNE-SYSTEM; RAINBOW-TROUT; TEMPERATURE; MACROPHAGES; VERTEBRATES; LEUKOCYTES; PATHWAYS; CELLS</t>
  </si>
  <si>
    <t>We studied the ability of the Antarctic fish Notothenia neglecta to conduct an induced inflammatory process at 0 degrees C. Indian ink was injected and a cotton suture thread was implanted into muscle of different groups of fish. After 1-2 days of Indian ink injection, the ink was diffused in the perimysium and there was hemorrhage and cellular infiltrate composed mainly of macrophages A (with few and small lysosomes) and neutrophils; after 7-15 days, there were macrophages A and some macrophages B (cytoplasm clear, lamellar cytoplasmic system forming interdigitations); after 30 days, there was Indian ink in the interior of macrophages A. The suture thread process takes place in two phases: the first (up to 7 days) with predominance of macrophages A and few neutrophils, and the second (15-30 days) with predominance of macrophages B. It can be concluded that N. neglecta is responsive to irritant stimulus with inflammatory process indicating adaptation to the antarctic environment.</t>
  </si>
  <si>
    <t>Inst Ciencias Biomed, Dept Histol &amp; Embriol, BR-05508900 Sao Paulo, Brazil</t>
  </si>
  <si>
    <t>Inst Ciencias Biomed, Dept Histol &amp; Embriol, Prof Lineu Prestes 1524,Cidade Univ, BR-05508900 Sao Paulo, Brazil.</t>
  </si>
  <si>
    <t>Hernandez-Blazquez, Francisco Javier/K-5450-2014; Barbieri, Renato Lamounier/D-5930-2014; Silva, J.R.M.C./H-7496-2016</t>
  </si>
  <si>
    <t>Silva, J.R.M.C./0000-0002-1687-8526</t>
  </si>
  <si>
    <t>10.1007/s003000050297</t>
  </si>
  <si>
    <t>WOS:000075784600007</t>
  </si>
  <si>
    <t>De La Mare, WK</t>
  </si>
  <si>
    <t>Tidier fisheries management requires a new MOP (management-oriented paradigm)</t>
  </si>
  <si>
    <t>Our experience of fisheries management is one of regular disappointments. As well as occasional spectacular collapses, fisheries have often had to make severe and painful adjustments in the face of overexploitation and overinvestment. The failures of fisheries management may result from failing to consider the management of fisheries as a whole system. A management-oriented paradigm (MOP) crosses the boundaries of traditional fisheries scientific, economic and policy research. It involves formulating management objectives that are measurable, specifying sets of decision rules, and specifying the data and methods to be used, all in such a way that the properties of the resultant system can be prospectively evaluated, The prospective evaluation of a management system involves the use of computer simulations and the development of performance measures that demonstrate the likely success of a management system in meeting its objectives.</t>
  </si>
  <si>
    <t>De La Mare, WK (corresponding author), Australian Antarctic Div, Channel Highway, Kingston, Tas 7050, Australia.</t>
  </si>
  <si>
    <t>10.1023/A:1008819416162</t>
  </si>
  <si>
    <t>147NG</t>
  </si>
  <si>
    <t>WOS:000077486400008</t>
  </si>
  <si>
    <t>George, KH</t>
  </si>
  <si>
    <t>Polyascophorus, a new genus of Ancorabolidae (Crustacea, Copepoda), including the description of two new species and the re-allocation of Ceratonotus gorbunovi</t>
  </si>
  <si>
    <t>VIE ET MILIEU-LIFE AND ENVIRONMENT</t>
  </si>
  <si>
    <t>Copepoda; Harpacticoida; Ancorabolidae; Polyascophorus; phylogeny</t>
  </si>
  <si>
    <t>Two new species of copepods are described, one from the Barents Sea (Arctic), and the other from the Weddell Sea (Antarctic). Polyascophorus martinezi gen. et sp. n. and P. schminkei sp. n. belong to the Ancorabolinae Sars, 1909 (Copepoda, Harpacticoida, Ancorabolidae), because they share the following apomorphic characters: loss of exp A2, prolongation of basis P1, enp P1 not prehensile, loss of first outer seta of exp 3 P2-P4. On the other hand, they differ in so many characters from all hitherto known taxa within Ancorabolinae that a new genus is established. Ceratonotus gorbunovi (Smirnov, 1946) is transferred into the new genus Polyascophorus, due to several characters it shares with the two new species described here.</t>
  </si>
  <si>
    <t>Carl von Ossietzky Univ, Fachbereich Biol, Arbeitsgrp Zoomorphol, D-26111 Oldenburg, Germany</t>
  </si>
  <si>
    <t>George, KH (corresponding author), Carl von Ossietzky Univ, Fachbereich Biol, Arbeitsgrp Zoomorphol, D-26111 Oldenburg, Germany.</t>
  </si>
  <si>
    <t>George, Kai Horst/0000-0001-6464-0099</t>
  </si>
  <si>
    <t>OBSERVATOIRE OCEANOLOGIQUE BANYULS</t>
  </si>
  <si>
    <t>BANYULS-SUR-MER CEDEX</t>
  </si>
  <si>
    <t>LABORATOIRE ARAGO, BP 44, 66651 BANYULS-SUR-MER CEDEX, FRANCE</t>
  </si>
  <si>
    <t>0240-8759</t>
  </si>
  <si>
    <t>VIE MILIEU</t>
  </si>
  <si>
    <t>Vie Milieu</t>
  </si>
  <si>
    <t>134NH</t>
  </si>
  <si>
    <t>WOS:000076749100001</t>
  </si>
  <si>
    <t>Christian, JR; Karl, DM</t>
  </si>
  <si>
    <t>Ectoaminopeptidase specificity and regulation in Antarctic marine pelagic microbial communities</t>
  </si>
  <si>
    <t>aminopeptidase; enzyme specificity; enzyme regulation; Antarctica</t>
  </si>
  <si>
    <t>EXOPROTEOLYTIC ACTIVITY; ORGANIC-MATTER; WATERS; AMINOPEPTIDASE; OCEAN; SEAWATER; BACTERIA; IRON; SEA</t>
  </si>
  <si>
    <t>Ectoaminopeptidase activities of pelagic marine microbial communities were investigated on several research cruises in the western Antarctic Peninsula region from 1992 to 1994, using the fluorigenic substrate analogue L-leucyl-beta-naphthylamine. K-m values at in situ temperature were comparable to those observed by other investigators for a variety of aquatic environments. Competitive inhibition by dipeptides of a variety of amino acids showed that the aminopeptidases present were broadly specific; no strong tendency toward greater affinity for hydrophobic or hydrophilic amino acids was observed. Seawater cultures (1.0 mu m filtrate) were inoculated with a variety of monomeric organic compounds and incubated for 24 to 72 h prior to activity determination; histidine and phenylalanine were found to consistently inhibit aminopeptidase expression. It is hypothesized that auxotrophy for histidine and phenylalanine may be widespread in these assemblages, giving rise to high levels of constitutive, nonspecific aminopeptidase activity which results in significant respiration of the more common amino acids. Whatever the exact mechanism, aminopeptidase activity is strongly affected by the specific compounds present and not simply by the carbon-to-nitrogen ratio.</t>
  </si>
  <si>
    <t>NASA, Goddard Space Flight Ctr, Univ Space Res Assoc, Greenbelt, MD 20771 USA; Univ Hawaii, Sch Ocean &amp; Earth Sci &amp; Technol, Honolulu, HI 96822 USA</t>
  </si>
  <si>
    <t>Universities Space Research Association (USRA); National Aeronautics &amp; Space Administration (NASA); NASA Goddard Space Flight Center; University of Hawaii System</t>
  </si>
  <si>
    <t>Christian, JR (corresponding author), NASA, Goddard Space Flight Ctr, Univ Space Res Assoc, Code 970-2, Greenbelt, MD 20771 USA.</t>
  </si>
  <si>
    <t>jrc@bluefin.gsfc.nasa.gov</t>
  </si>
  <si>
    <t>Karl, David/AFP-3837-2022</t>
  </si>
  <si>
    <t>Karl, David/0000-0002-6660-6721</t>
  </si>
  <si>
    <t>1616-1564</t>
  </si>
  <si>
    <t>AUG 31</t>
  </si>
  <si>
    <t>10.3354/ame015303</t>
  </si>
  <si>
    <t>117LY</t>
  </si>
  <si>
    <t>WOS:000075783800011</t>
  </si>
  <si>
    <t>Hicke, J; Tuck, A; Smith, W</t>
  </si>
  <si>
    <t>A comparison of Antarctic stratospheric radiative heating rates calculated from high-resolution interferometer sounder and UK Meteorological Office data</t>
  </si>
  <si>
    <t>POLAR VORTEX; OZONE; MODEL; SYSTEM; COMPUTATIONS; TRANSPORT; DYNAMICS; DESCENT; BALANCE; CLOUDS</t>
  </si>
  <si>
    <t>Radiative heating rates have been calculated in the region of the Antarctic polar vortex during 1994 using the National Center for Atmospheric Research Community Climate Model (CCM2) radiative transfer model. Temperature and tropospheric water vapor retrievals were used from the high-resolution interferometer sounder (HIS) on board the ER-2 in 1994 to compute clear sky heating rates in April, August, and October. The lower stratospheric heating rate is shown to be sensitive to the skin temperature due to the exchange of radiation within the ozone 9.6 mu m band. This implies a coupling between the surface and the lower stratosphere, with the formation of sea ice decreasing the skin temperature and increasing lower stratospheric cooling rates. Computations show weak heating (strong cooling) rates for the fall flight, of the order of -0.7 K/day (potential temperature), with progressively greater heating (smaller cooling) rates associated with the late winter and spring flights and large variations in latitude. HIS temperatures are independent of numerical weather prediction analyses and so provide a useful comparison. Vertical mean (350-420 K) temperature differences between HIS retrievals and collocated U.K. Meteorological Office (UKMO) assimilations are generally within 3 K; HIS temperatures are greater for most flights around and poleward of the vortex edge. Calculated heating rates result in weaker HIS heating (stronger HIS cooling) for most flights resulting from the greater HIS temperatures. Heating rate differences are generally within 0.2 K/day for the 350-420 K vertical mean. The calculations show evidence of a minimum in the cooling rate in the region of the vortex edge for the August and October flights, also seen in the collocated UKMO results as well as in hemispheric calculations.</t>
  </si>
  <si>
    <t>NOAA, Aeron Lab, Boulder, CO 80303 USA; Univ Wisconsin, Cooperat Inst Meteorol Satellite Studies, Madison, WI 53706 USA; Univ Colorado, Program Atmospher &amp; Ocean Sci, Boulder, CO 80309 USA</t>
  </si>
  <si>
    <t>National Oceanic Atmospheric Admin (NOAA) - USA; University of Wisconsin System; University of Wisconsin Madison; University of Colorado System; University of Colorado Boulder</t>
  </si>
  <si>
    <t>Hicke, J (corresponding author), NOAA, Aeron Lab, 325 Broadway,R-E-AL6, Boulder, CO 80303 USA.</t>
  </si>
  <si>
    <t>jhicke@al.noaa.gov; tuck@al.noaa.gov</t>
  </si>
  <si>
    <t>Hicke, Jeffrey A./M-9677-2013; Tuck, Adrian/F-6024-2011</t>
  </si>
  <si>
    <t>Tuck, Adrian/0000-0002-2074-0538</t>
  </si>
  <si>
    <t>AUG 27</t>
  </si>
  <si>
    <t>D16</t>
  </si>
  <si>
    <t>10.1029/98JD01368</t>
  </si>
  <si>
    <t>114ED</t>
  </si>
  <si>
    <t>WOS:000075595400020</t>
  </si>
  <si>
    <t>Alvarez-Muniz, J; Zas, E</t>
  </si>
  <si>
    <t>The LPM effect for EeV hadronic showers in ice: implications for radio detection of neutrinos</t>
  </si>
  <si>
    <t>PHYSICS LETTERS B</t>
  </si>
  <si>
    <t>Cherenkov radiation; LPM effect; hadronic showers; neutrino detection</t>
  </si>
  <si>
    <t>TRANSVERSE-MOMENTUM SECONDARIES; ULTRAHIGH-ENERGY NEUTRINOS; COSMIC-RAY INTERACTIONS; ANTARCTIC ICE; SCATTERING; RADIATION; ORIGIN; LEAD</t>
  </si>
  <si>
    <t>We study the longitudinal development of hadronic showers in ice for energies up to 100 EeV and its implications for radio and optical Cherenkov emission. A small fraction of showers induced by primaries of energy above 1 EeV is shown to display the characteristic elongation associated to the Landau Pomeranchuck Migdal (LPM) effect. The rest look like ordinary showers because the highest energy pi(0)'s interact instead of decaying in two photons. The LPM effect observed in this fraction of the showers is mainly due to eta and eta' production and decay. We give parameterizations for the total and excess charge tracklengths and for the amplitude and angular spread of the electric field spectrum in the Cherenkov direction. Implications for neutrino detection are briefly addressed. (C) 1998 Elsevier Science B.V. All rights reserved.</t>
  </si>
  <si>
    <t>Univ Santiago, Dept Fis Particulas, E-15706 Santiago, Spain</t>
  </si>
  <si>
    <t>Universidade de Santiago de Compostela</t>
  </si>
  <si>
    <t>Alvarez-Muniz, J (corresponding author), Univ Santiago, Dept Fis Particulas, E-15706 Santiago, Spain.</t>
  </si>
  <si>
    <t>Alvarez-Muniz, Jaime/H-1857-2015; Zas, Enrique/I-5556-2015</t>
  </si>
  <si>
    <t>Alvarez-Muniz, Jaime/0000-0002-2367-0803; Zas, Enrique/0000-0002-4430-8117</t>
  </si>
  <si>
    <t>0370-2693</t>
  </si>
  <si>
    <t>PHYS LETT B</t>
  </si>
  <si>
    <t>Phys. Lett. B</t>
  </si>
  <si>
    <t>10.1016/S0370-2693(98)00905-8</t>
  </si>
  <si>
    <t>Astronomy &amp; Astrophysics; Physics, Nuclear; Physics, Particles &amp; Fields</t>
  </si>
  <si>
    <t>Astronomy &amp; Astrophysics; Physics</t>
  </si>
  <si>
    <t>119DC</t>
  </si>
  <si>
    <t>WOS:000075879400023</t>
  </si>
  <si>
    <t>Tison, JL; Souchez, R; Wolff, EW; Moore, JC; Legrand, MR; de Angelis, M</t>
  </si>
  <si>
    <t>Is a periglacial biota responsible for enhanced dielectric response in basal ice from the Greenland Ice Core Project ice core?</t>
  </si>
  <si>
    <t>ELECTRICAL STRATIGRAPHY; SULFURIC-ACID; ANTARCTIC ICE; SUMMIT; AMMONIUM; SHEET; TEXTURES; BUILDUP; FABRICS</t>
  </si>
  <si>
    <t>A detailed dielectric profiling (DEP) conductivity profile (delta(infinity)) measured in the 6 m of the basal silty ice sequence from the Greenland Ice Core Project (GRIP) ice core (Summit, Central Greenland) is presented and compared to previous multiparametric studies. DEP conductivities span the whole glacial-interglacial range observed higher up in the GRIP core (9-25 mu S m(-1)). Values in the bottom meter of the sequence reach the level of some of the highest peaks from Holocene volcanic layers in the core (33 mu S m(-1)). On a steady increase of the sigma(infinity) values down the sequence are superimposed large fluctuations inphase with other variables measured in the core such as delta(18)O, debris content, or gas compositions in CO2 and CH4. Analysis of the type and strength of intercorrelations shows that the controlling variable for the DEP signal must be closely related to the gas content and composition of the ice. Plausible candidates for this causality link are investigated. Enhancing of the sigma conductivity by CO2 and CH4 encaged in the ice lattice as gas hydrates is ruled out since these are nonpolar clathrates of structure I, known as having negligible impact on the orientational stability of the water molecules under ac currents. NH4+ is proposed as the best candidate since it has been shown to enhance DEP conductivities by introducing Bjerrum defects in the ice lattice and since it could have been initially present partly as gaseous NH3 in the ice. This proposition is supported by the NH4+ profile in the basal ice sequence. Using calibration curves from higher up in the core, it is shown that sigma is in fact fully explained by intracrystalline conductivity of pure ice solely disrupted by ammonium impurities in the ice lattice, The origin of the NH4+ signal is discussed in the light of organic acid profiles (formate, acetate, and oxalate). It appears that the most likely source is local degradation of biological residues, which supports the hypothesis that part of the basal ice was formed locally, in the absence of the present-day ice sheet.</t>
  </si>
  <si>
    <t>Univ Libre Brussels, Dept Sci &amp; Terre &amp; Environm, Brussels, Belgium; British Antarctic Survey, NERC, Cambridge CB3 0ET, England; Univ Lapland, Arctic Ctr, Rovaniemi, Finland; CNRS, Lab Glaciol &amp; Geophys Environm, Grenoble, France</t>
  </si>
  <si>
    <t>Universite Libre de Bruxelles; UK Research &amp; Innovation (UKRI); Natural Environment Research Council (NERC); NERC British Antarctic Survey; University of Lapland; Communaute Universite Grenoble Alpes; Universite Grenoble Alpes (UGA); Centre National de la Recherche Scientifique (CNRS)</t>
  </si>
  <si>
    <t>Univ Libre Brussels, Dept Sci &amp; Terre &amp; Environm, 808 Route Lennik, Brussels, Belgium.</t>
  </si>
  <si>
    <t>glaciol@ulb.ac.be; ewwo@pcmail.nerc-bas.ac.uk; jmoore@roisrv.urova.fi; mimi@glaciog.grenet.fr</t>
  </si>
  <si>
    <t>Legrand, Michel/AAU-4678-2020; Wolff, Eric W/D-7925-2014; Moore, John C/B-2868-2013; Tison, Jean-Louis/F-4065-2015</t>
  </si>
  <si>
    <t>Wolff, Eric W/0000-0002-5914-8531; Moore, John C/0000-0001-8271-5787; Tison, Jean-Louis/0000-0002-9758-3454</t>
  </si>
  <si>
    <t>AUG 20</t>
  </si>
  <si>
    <t>D15</t>
  </si>
  <si>
    <t>10.1029/98JD01107</t>
  </si>
  <si>
    <t>112LE</t>
  </si>
  <si>
    <t>WOS:000075495500001</t>
  </si>
  <si>
    <t>Yurganov, LN; Jaffe, DA; Pullman, E; Novelli, PC</t>
  </si>
  <si>
    <t>Total column and surface densities of atmospheric carbon monoxide in Alaska, 1995</t>
  </si>
  <si>
    <t>SPECTROSCOPIC MEASUREMENTS; CO; ABUNDANCE; INCREASE; DATABASE; CH4</t>
  </si>
  <si>
    <t>The results of correlated investigations of atmospheric carbon monoxide in Alaska during the spring-summer of 1995 using three different techniques are presented. CO total column abundance was measured in Fairbanks using IR spectroscopy with the Sun as a light source. A new computer retrieval code was developed and compared with the previously used technique. Surface mixing ratios were determined in situ by gas filter correlation and by gas chromatography with a mercuric oxide reduction detector. Surface measurements were made at two uncontaminated sites: Poker Flat Research Range in interior Alaska and the National Oceanic and Atmospheric Administration Point Barrow Observatory. In spring, the measurements revealed considerably more CO in the surface layer as compared with the tropospheric mean values determined by spectroscopy. This suggests an accumulation of anthropogenic CO in the boundary atmospheric layer over vast areas of the northern hemisphere during the winter. Beginning in mid-April, the CO concentration in the troposphere decreases, but the rate of decrease in the surface layer was 2-2.5 times greater than that for the troposphere as a whole. By June the surface mixing ratios and mean tropospheric values nearly converged, and the CO mixing ratio seemed to be almost constant with altitude. The July measurements revealed days with enhanced CO total column burden; these are most likely associated with lifted layers of air, polluted by forest fires.</t>
  </si>
  <si>
    <t>Arctic &amp; Antarctic Res Inst, St Petersburg 199226, Russia; Univ Alaska, Inst Geophys, Fairbanks, AK USA; NOAA, Climate Monitoring &amp; Diagnost Lab, Boulder, CO 80303 USA</t>
  </si>
  <si>
    <t>Arctic &amp; Antarctic Research Institute; University of Alaska System; University of Alaska Fairbanks; National Oceanic Atmospheric Admin (NOAA) - USA</t>
  </si>
  <si>
    <t>Univ Toronto, Dept Phys, 60 St George St, Toronto, ON M5S 1A7, Canada.</t>
  </si>
  <si>
    <t>leonid@atmosp.physics.utoronto.ca; djaffe@u.washington.edu; pnovelli@cmdl.noaa.gov</t>
  </si>
  <si>
    <t>10.1029/97JD02299</t>
  </si>
  <si>
    <t>WOS:000075495500037</t>
  </si>
  <si>
    <t>Blunier, T; Chappellaz, J; Schwander, J; Dallenbach, A; Stauffer, B; Stocker, TF; Raynaud, D; Jouzel, J; Clausen, HB; Hammer, CU; Johnsen, SJ</t>
  </si>
  <si>
    <t>Asynchrony of Antarctic and Greenland climate change during the last glacial period</t>
  </si>
  <si>
    <t>ICE-CORE RECORD; ISOTOPE PROFILES; HEINRICH EVENTS; NORTH-ATLANTIC; OSCILLATIONS; PALEOCLIMATE; DEGLACIATION; TEMPERATURE; CIRCULATION; SEDIMENTS</t>
  </si>
  <si>
    <t>A central issue in climate dynamics is to understand how the Northern and Southern hemispheres are coupled during climate events. The strongest of the fast temperature changes observed in Greenland (so-called Dansgaard-Oeschger events) during the last glaciation have an analogue in the temperature record from Antarctica. A comparison of the global atmospheric concentration of methane as recorded in ice cores from Antarctica and Greenland permits a determination of the phase relationship (in leads or lags) of these temperature variations. Greenland warming events around 36 and 45 kyr before present lag their Antarctic counterpart by more than 1 kyr. On average, Antarctic climate change leads that of Greenland by 1-2.5 kyr over the period 47-23 kyr before present.</t>
  </si>
  <si>
    <t>Univ Bern, Inst Phys, CH-3012 Bern, Switzerland; CNRS, Lab Glaciol &amp; Geophys Environm, F-38402 St Martin Dheres, France; CEA Saclay, UMR CEA CNRS 1572, Lab Sci Climat &amp; Environm, F-91191 Gif Sur Yvette, France; Univ Copenhagen, Dept Geophys NBIfAPG, DK-2100 Copenhagen O, Denmark; Univ Iceland, Inst Sci, Dept Geophys, IS-107 Reykjavik, Iceland</t>
  </si>
  <si>
    <t>University of Bern; Centre National de la Recherche Scientifique (CNRS); Universite Paris Saclay; CEA; Centre National de la Recherche Scientifique (CNRS); University of Copenhagen; University of Iceland</t>
  </si>
  <si>
    <t>Blunier, T (corresponding author), Univ Bern, Inst Phys, Sidlerstr 5, CH-3012 Bern, Switzerland.</t>
  </si>
  <si>
    <t>blunier@climate.unibe.ch</t>
  </si>
  <si>
    <t>raynaud, dominique/ABG-4718-2020; Stocker, Thomas F/B-1273-2013; Clausen, Helene/AAU-8786-2020; Raynaud, Dominique/H-9626-2016; Chappellaz, Jérôme A./A-4872-2011; Blunier, Thomas/M-4609-2014</t>
  </si>
  <si>
    <t>10.1038/29447</t>
  </si>
  <si>
    <t>112PR</t>
  </si>
  <si>
    <t>WOS:000075503600034</t>
  </si>
  <si>
    <t>Payne, AJ</t>
  </si>
  <si>
    <t>Dynamics of the Siple Coast ice streams, West Antarctica: results from a thermomechanical ice sheet model</t>
  </si>
  <si>
    <t>FLOW</t>
  </si>
  <si>
    <t>Most of the ice leaving the Antarctic Ice Sheet is discharged to the sea by ice streams. An understanding of the dynamics of these ice streams is therefore crucial if we are to predict the future evolution of the ice sheet and its effect on global sea level. The behavior of Ice Streams A to E of the Siple Coast, West Antarctica has attracted much attention with evidence of recent stagnation and numerous relict ice-flow features. Here I present results from a three-dimensional, thermodynamic ice sheet model of the West Antarctic Ice Sheet (WAIS). The model generates variability in the flow of the Siple Coast ice streams reminiscent of that mentioned above. This is caused by competition between several preferred ice flow pathways in the area. Individual ice streams interact through changes in catchment-area size: a reduction in catchment area reduces the flow of ice entering a stream and can cause stagnation through the associated reduction in deformational heating.</t>
  </si>
  <si>
    <t>Univ Southampton, Dept Geog, Southampton SO17 1BJ, Hants, England</t>
  </si>
  <si>
    <t>University of Southampton</t>
  </si>
  <si>
    <t>Univ Southampton, Dept Geog, Southampton SO17 1BJ, Hants, England.</t>
  </si>
  <si>
    <t>A.J.Payne@soton.ac.uk</t>
  </si>
  <si>
    <t>payne, antony/A-8916-2008</t>
  </si>
  <si>
    <t>payne, antony/0000-0001-8825-8425</t>
  </si>
  <si>
    <t>AUG 15</t>
  </si>
  <si>
    <t>10.1029/98GL52327</t>
  </si>
  <si>
    <t>111WT</t>
  </si>
  <si>
    <t>WOS:000075462000031</t>
  </si>
  <si>
    <t>Karstensen, J; Tomczak, M</t>
  </si>
  <si>
    <t>Age determination of mixed water masses using CFC and oxygen data</t>
  </si>
  <si>
    <t>OPTIMUM MULTIPARAMETER ANALYSIS; ANTARCTIC INTERMEDIATE WATER; SOUTH INDIAN-OCEAN; NORTH-ATLANTIC; VENTILATION; THERMOCLINE; CIRCULATION; SEAWATER; SECTION</t>
  </si>
  <si>
    <t>We present a new method based on a combination of optimum multiparameter analysis and CFC/oxygen mixing analysis to determine the ages of water masses in regions of mixing. It enables us to follow water mass movements in greater detail than with other methods, which give only the combined pseudoage of a water mass mixture. We define the age of a water mass as the time a water parcel needs to spread from its source region, where it received its individual tracer characteristics, to the point of observation. The age distribution allows us to determine pathways of water masses, which differ from simple advection trajectories because the age is determined by a combination of advective and diffusive processes. We apply the method to hydrographic data along World Ocean Circulation Experiment section I5 in the south east Indian Ocean. In the thermocline, Indian Central Water (ICW) and Subantarctic Mode Water (SAMW) meet and mix. These distinct water masses have different formation mechanisms but similar temperature/salinity characteristics. It is shown that the convective formation of SAMW is a major ventilation mechanism for the lower Indian thermocline. In the eastern part of the south Indian Ocean, SAMW dominates the oceanic thermocline and is found to be about 5 years old. Pure ICW is present only in the thermocline of the region 48 degrees-55 degrees E, with increasing age with depth, confirming the subduction theory. While most SAMW joins the equatorward gyre movement of the southeastern Indian Ocean, some of it propagates westward through turbulent diffusive mixing, reaching 55 degrees E after 15-20 years. It takes ICW some 25-30 years to reach 110 degrees E.</t>
  </si>
  <si>
    <t>Univ Hamburg, Inst Meereskunde, D-22529 Hamburg, Germany; Flinders Univ S Australia, Flinders Inst Atmospher &amp; Marine Sci, Adelaide, SA 5001, Australia</t>
  </si>
  <si>
    <t>University of Hamburg; Flinders University South Australia</t>
  </si>
  <si>
    <t>Karstensen, J (corresponding author), Univ Hamburg, Inst Meereskunde, Troplowitzstr 7, D-22529 Hamburg, Germany.</t>
  </si>
  <si>
    <t>Karstensen, Johannes/A-8534-2013</t>
  </si>
  <si>
    <t>Karstensen, Johannes/0000-0001-5044-7079; Tomczak, Matthias/0000-0002-8416-5851</t>
  </si>
  <si>
    <t>C9</t>
  </si>
  <si>
    <t>10.1029/98JC00889</t>
  </si>
  <si>
    <t>110CZ</t>
  </si>
  <si>
    <t>WOS:000075363700016</t>
  </si>
  <si>
    <t>Tsujino, H; Suginohara, N</t>
  </si>
  <si>
    <t>Thermohaline effects on upper layer circulation of the North Pacific</t>
  </si>
  <si>
    <t>SHALLOW SALINITY MINIMA; INTERMEDIATE WATER; OCEAN; MODEL</t>
  </si>
  <si>
    <t>We investigate thermohaline effects on the upper layer circulation of the North Pacific by carrying out numerical experiments. The Pacific circulation north of 30 degrees S is driven by wind forcing, thermohaline forcing at the sea surface, and Newtonian body forcing at the southern end of the model domain. The three driving agents for the circulation are incorporated step by step into the model to evaluate the role of each agent. The thermohaline forcing at the sea surface enhances the subsurface southward flow, which is the upper part of the layered deep Pacific meridional circulation. This flow suffers distortion but does not disappear, even when wind forcing is imposed. It follows the eastern and the southern perimeter of the subtropical gyre, becoming the southward western boundary undercurrent at low latitudes. The cross-gyre southward western boundary undercurrent to the tropics, which is indicated in the observed distribution of tracers, is associated with the thermohaline circulation. Thus it is found that at the upper thermocline depths in the subtropical and tropical regions the flows in the poleward and westward region are wind driven, and those in the equatorward and eastward region are thermohaline. The inflow into the tropical South Pacific and Atlantic of the Antarctic Intermediate Water may be accounted for by this mechanism.</t>
  </si>
  <si>
    <t>Univ Tokyo, Ctr Climate Syst Res, Meguro Ku, Tokyo 1538904, Japan</t>
  </si>
  <si>
    <t>University of Tokyo</t>
  </si>
  <si>
    <t>Tsujino, H (corresponding author), Univ Tokyo, Ctr Climate Syst Res, Meguro Ku, 4-6-1 Komaba, Tokyo 1538904, Japan.</t>
  </si>
  <si>
    <t>10.1029/98JC01682</t>
  </si>
  <si>
    <t>WOS:000075363700020</t>
  </si>
  <si>
    <t>Christie, DM; West, BP; Pyle, DG; Hanan, BB</t>
  </si>
  <si>
    <t>Chaotic topography, mantle flow and mantle migration in the Australian-Antarctic discordance</t>
  </si>
  <si>
    <t>SOUTHEAST INDIAN RIDGE; DRIVING MECHANISM; SPREADING CENTERS; SEA-FLOOR; OCEAN; GEOCHEMISTRY; TECTONICS; ATLANTIC; BOUNDARY; BASALTS</t>
  </si>
  <si>
    <t>Oceanic crust formed over the past 30 million years at the Australian-Antarctic discordance (AAD) is characterized by chaotic sea-floor topography, reflecting a weak magma supply from an unusually cold underlying mantle. During the past 3-4 million years, however, a source of increased magma supply, coinciding with the known Indian-Pacific mantle Isotopic boundary, has propagated into the eastern AAD, displacing the chaotic terrain and replacing it with normal sea floor, Pacific mantle reached the eastern boundary of the AAD at least 7 million years ago, but it was not until 3-4 million years ago that lavas derived from Pacific mantle were first erupted within the AAD. This long hiatus, combined with the ridge-transform geometry across the AAD boundary, constrains the locus of mantle migration to a narrow, relatively shallow region, directly beneath the spreading axis of the Southeast Indian ridge.</t>
  </si>
  <si>
    <t>Oregon State Univ, Coll Ocean &amp; Atmospher Sci, Corvallis, OR 97331 USA; Woods Hole Oceanog Inst, Dept Geol &amp; Geophys, Woods Hole, MA 02543 USA; San Diego State Univ, Dept Geol Sci, San Diego, CA 92182 USA</t>
  </si>
  <si>
    <t>Oregon State University; Woods Hole Oceanographic Institution; California State University System; San Diego State University</t>
  </si>
  <si>
    <t>Christie, DM (corresponding author), Oregon State Univ, Coll Ocean &amp; Atmospher Sci, Corvallis, OR 97331 USA.</t>
  </si>
  <si>
    <t>Hanan, Barry/0000-0002-8240-2200</t>
  </si>
  <si>
    <t>AUG 13</t>
  </si>
  <si>
    <t>10.1038/29226</t>
  </si>
  <si>
    <t>110MD</t>
  </si>
  <si>
    <t>WOS:000075384200032</t>
  </si>
  <si>
    <t>Yaremchuk, M; Nechaev, D; Schroter, J; Fahrbach, E</t>
  </si>
  <si>
    <t>A dynamically consistent analysis of circulation and transports in the southwestern Weddell Sea</t>
  </si>
  <si>
    <t>oceanography, general (Arctic and Antarctic oceanography); oceanography, physical (general circulation, hydrography)</t>
  </si>
  <si>
    <t>ABSOLUTE VELOCITY; SOUTHERN-OCEAN; WATER; ALGORITHMS; MODELS; GYRE</t>
  </si>
  <si>
    <t>An inverse model is applied for the analysis of hydrographic and current meter data collected on the repeat WOCE section SR4 in the Weddell Sea in 1989-1992. The section crosses the Weddell Sea cyclonic gyre from Kapp Norvegia to the northern end of the Antarctic Peninsula. The concepts of geostrophy, conservation of planetary vorticity and hydrostatics are combined with advective balances of active and passive properties to provide a dynamically consistent circulation pattern. Our variational assimilation scheme allows the calculation of three-dimensional velocities in the section plane. Current speeds are small except along the coasts where they reach up to 12 cm/s. We diagnose a gyre transport of 34 Sverdrup which is associated with a poleward heat transport of 28 x 10(12) W corresponding to an average heat Aux of 15 Wm(-2) in the Weddell Sea south of the transect. This exceeds the estimated local flux on the transect of 2 Wm(-2). As the transect is located mostly in the open ocean, we conclude that the shelf areas contribute significantly to the ocean-atmosphere exchange and are consequently key areas for the contribution of the Weddell Sea to global ocean ventilation. Conversion of water masses occuring south of the section transform 6.6 +/- 1.1 Sv of the inflowing warm deep water into approximately equal amounts of Weddell Sea deep water and Weddell Sea bottom water. The volume transport of surface water equals in the in- and outflow. This means that almost all newly formed surface water is involved in the deep and bottom water formation. Comparison with the results obtained by pure velocity interpolation combined with a hydrographic data subset indicates major differences in the derived salt transports and the water mass conversion of the surface water. The differences can be explained by deviations in the structure of the upper ocean currents to which shelf areas contribute significantly. additionally a rigorous variance analysis is performed. When only hydrographic data are used for the inversion both the gyre transport and the poleward heat transport are substantially lower. They amount to less than 40% of our best estimate while the standard deviations of both quantities are 6.5 Sv and 37 x 10(12) W, respectively. With the help of long-term current meter measurements these errors can be reduced to 2 Sv and 8 x 10(12) W. Our result underlines the importance of velocity data or equivalent information that helps to estimate the absolute velocities.</t>
  </si>
  <si>
    <t>Alfred Wegener Inst Polar &amp; Marine Res, D-27570 Bremerhaven, Germany; Shirshov Inst Oceanog, Moscow 117218, Russia</t>
  </si>
  <si>
    <t>Helmholtz Association; Alfred Wegener Institute, Helmholtz Centre for Polar &amp; Marine Research; Russian Academy of Sciences; Shirshov Institute of Oceanology</t>
  </si>
  <si>
    <t>Nechaev, D (corresponding author), Alfred Wegener Inst Polar &amp; Marine Res, Handelshafen 12, D-27570 Bremerhaven, Germany.</t>
  </si>
  <si>
    <t>Schröter, Jens G/H-8806-2016; Yaremchuk, Max/AAJ-5777-2021</t>
  </si>
  <si>
    <t>Schröter, Jens G/0000-0002-9240-5798;</t>
  </si>
  <si>
    <t>AUG</t>
  </si>
  <si>
    <t>10.1007/s00585-998-1024-7</t>
  </si>
  <si>
    <t>117LZ</t>
  </si>
  <si>
    <t>WOS:000075783900014</t>
  </si>
  <si>
    <t>Merlanti, F; Pavan, M</t>
  </si>
  <si>
    <t>A geoelectrical survey above an Antarctic ice shelf</t>
  </si>
  <si>
    <t>applied geophysics; ice shelf; electrical prospecting</t>
  </si>
  <si>
    <t>A geoelectrical survey was performed on the Hells Gate ice shelf (Victoria Land-Antarctic) within the framework of an integrated geophysical and glaciological research program. The resistivity profiles show a similar trend, with resistivity values ranging from about 25 000 Ohm . m to 500 000 Ohm . m These results have been interpreted as the effect of a sharp transition from &lt;&gt; to &lt;&gt;, an interpretation that is consistent with the results of surface mapping. Interpreting the Vertical Electrical Soundings (VES) is a complex process. In fact, the alternating layers of ice with different compositions and salt content generate great uncertainty relative to the corresponding electric stratigraphies. To solve these problems of equivalency, all the available constraints were used including the drilling thickness, seismic reflection profiles as well as radar profiles. The results were used to provide what is mainly a qualitative overview that is coherent with the glaciological hypotheses relative to the evolution and structure proposed by some researchers for this ice shelf.</t>
  </si>
  <si>
    <t>Merlanti, F (corresponding author), Univ Genoa, Dipartimento Sci Terra, Corso Europa 26, I-16132 Genoa, Italy.</t>
  </si>
  <si>
    <t>174UX</t>
  </si>
  <si>
    <t>WOS:000079055300002</t>
  </si>
  <si>
    <t>Lovejoy, C; Bowman, JP; Hallegraeff, GM</t>
  </si>
  <si>
    <t>Algicidal effects of a novel marine Pseudoalteromonas isolate (class Proteobacteria, gamma subdivision) on harmful algal bloom species of the genera Chattonella, Gymnodinium, and Heterosigma</t>
  </si>
  <si>
    <t>BACTERIAL-GROWTH; RED TIDE; PHYTOPLANKTON; JAPAN; CATENATUM; MATTER; RIVER; SEA; BAY</t>
  </si>
  <si>
    <t>During a bacterial survey of the Huon Estuary in southern Tasmania, Australia, we isolated a yellow-pigmented Pseudoalteromonas strain (class Proteobacteria, gamma subdivision), designated strain Y, that had potent algicidal effects on harmful algal bloom species. This organism was identified by 16S rRNA sequencing as a strain with close affinities to Pseudoalteromonas peptidysin. This bacterium caused rapid cell lysis and death (within 3 h) of gymnodinoids (including Gymnodinium catenatum) and raphidophytes (Chattonella marina and Heterosigma akashiwo). It caused ecdysis of armored dinoflagellates (e.g., Alexandrium catenella, Alexandrium minutum, and Prorocentrum mexicanum), but the algal cultures then recovered over the subsequent 24 h, Strain Y had no effect on a cryptomonad (Chroomonas sp.), a diatom (Skeletonema sp,), a cyanobacterium (Oscillatoria sp,), and two aplastidic protozoans. The algicidal principle of strain Y was excreted into the seawater medium and lost its efficacy after heating. Another common bacterial species, Pseudoalteromonas carrageenovora, was isolated at the same time and did not have these algicidal effects. The minimum concentrations of strain Y required to kill G. catenatum were higher than the mean concentrations found in nature under nonbloom conditions. However, the new bacterium showed a chemotactic, swarming behavior that resulted in localized high concentrations around target organisms. These observations imply that certain bacteria could play an important role in regulating the onset and development of harmful algal blooms.</t>
  </si>
  <si>
    <t>Univ Tasmania, Dept Plant Sci, Hobart, Tas 7001, Australia; Univ Tasmania, Cooperat Res Ctr Antarctic &amp; So Ocean, Hobart, Tas 7001, Australia; Univ Tasmania, Dept Agr Sci, Hobart, Tas 7001, Australia</t>
  </si>
  <si>
    <t>Lovejoy, C (corresponding author), Univ Laval, Dept Biol, Ste Foy, PQ G1K 7P4, Canada.</t>
  </si>
  <si>
    <t>Connie.Lovejoy@bio.ulaval.ca</t>
  </si>
  <si>
    <t>Bowman, John P./ABF-5108-2020; Lovejoy, Connie/A-3756-2008; Hallegraeff, Gustaaf/C-8351-2013</t>
  </si>
  <si>
    <t>Bowman, John P./0000-0002-4528-9333; Lovejoy, Connie/0000-0001-8027-2281; Hallegraeff, Gustaaf/0000-0001-8464-7343</t>
  </si>
  <si>
    <t>106JY</t>
  </si>
  <si>
    <t>WOS:000075127200007</t>
  </si>
  <si>
    <t>Hodkinson, ID; Webb, NR; Bale, JS; Block, W; Coulson, SJ; Strathdee, AT</t>
  </si>
  <si>
    <t>Global change and Arctic ecosystems: Conclusions and predictions from experiments with terrestrial invertebrates on spitsbergen</t>
  </si>
  <si>
    <t>ARCTIC AND ALPINE RESEARCH</t>
  </si>
  <si>
    <t>COLLEMBOLAN ONYCHIURUS-ARCTICUS; APHID ACYRTHOSIPHON-BREVICORNE; ENVIRONMENTAL-CHANGE; TEMPERATURE ELEVATION; CLIMATE CHANGE; SOIL MICROARTHROPODS; SUMMER TEMPERATURES; COLD-HARDINESS; LIFE-CYCLE; RESPONSES</t>
  </si>
  <si>
    <t>Extensive studies on invertebrates from Ny-Alesund, Spitsbergen, Svalbard and more Limited data on aphids from Abisko, Sweden, produced the following main conclusions: (1) The population response to raised summer temperatures differed between the above and the below ground species, both in terms of speed and magnitude. (2) Similar animal communities responded differently to similar temperature manipulations on sites with different vegetation cover and composition. (3) For soil animals the between-year and between-site variations in population densities, were greater than the differences produced by the temperature manipulation experiments at any one site in any year. (4) infrequent extreme climatic events strongly influence long-term trends in population density and community composition. (5) The population response of invertebrates to climate warming is greatest and most rapid at the coldest sites. (6) The spatial distribution of the above ground insect herbivores on their host plant is temperature limited. (7) The numerical abundance of flying predators/parasitsids of the above-ground herbivores is low. (8) The spatial distribution of some predators may be thermally restricted and less extensive than that of their prey. (9) Habitat temperature is the driving variable determining the flight activity patterns of insects. (10) Increased summer temperatures may alter or disrupt the seasonal patterns of insect emergence, particularly in species where the lift: cycle is cued into the seasonal rhythm. (II) The common species of arctic soil mites and Collembola are well adapted to survive enhanced summer temperatures, providing that moisture is not limited. (12) Water availability during the summer growing period is probably of greater significance than temperature in determining the survival and success of many arctic soil invertebrate groups. (13) Arctic soil microarthropod species are well adapted to survive and operate at subzero and low positive summer temperatures. (14) Freeze-thaw events represent critical points in the life history of the microarthropods. (15) Supercooling points are sometimes poor indicators of the capacity of arctic soil microarthopods to survive low temperatures. From these findings predictions are made as to how high arctic communities will respond to predicted changes in climate.</t>
  </si>
  <si>
    <t>Liverpool John Moores Univ, Sch Biol &amp; Earth Sci, Liverpool L3 3AF, Merseyside, England; NERC, Furzebrook Res Stn, Wareham BH20 5AS, Dorset, England; Univ Birmingham, Sch Biol Sci, Birmingham B15 2TT, W Midlands, England; British Antarctic Survey, NERC, Cambridge CB3 0ET, England</t>
  </si>
  <si>
    <t>Liverpool John Moores University; UK Research &amp; Innovation (UKRI); Natural Environment Research Council (NERC); University of Birmingham; UK Research &amp; Innovation (UKRI); Natural Environment Research Council (NERC); NERC British Antarctic Survey</t>
  </si>
  <si>
    <t>Hodkinson, ID (corresponding author), Liverpool John Moores Univ, Sch Biol &amp; Earth Sci, Byrom St, Liverpool L3 3AF, Merseyside, England.</t>
  </si>
  <si>
    <t>i.d.hodkinson@Iivjm.ac.uk</t>
  </si>
  <si>
    <t>INST ARCTIC ALPINE RES</t>
  </si>
  <si>
    <t>UNIV COLORADO, BOULDER, CO 80309 USA</t>
  </si>
  <si>
    <t>0004-0851</t>
  </si>
  <si>
    <t>ARCTIC ALPINE RES</t>
  </si>
  <si>
    <t>Arct. Alp. Res.</t>
  </si>
  <si>
    <t>10.2307/1551978</t>
  </si>
  <si>
    <t>Environmental Sciences; Geography</t>
  </si>
  <si>
    <t>Environmental Sciences &amp; Ecology; Geography</t>
  </si>
  <si>
    <t>121CL</t>
  </si>
  <si>
    <t>WOS:000075994500011</t>
  </si>
  <si>
    <t>Libby, WG; De Laeter, JR</t>
  </si>
  <si>
    <t>Biotite Rb-Sr age evidence for Early Palaeozoic tectonism along the cratonic margin in southwestern Australia</t>
  </si>
  <si>
    <t>AUSTRALIAN JOURNAL OF EARTH SCIENCES</t>
  </si>
  <si>
    <t>Albany Mobile Belt; biotite; rubidium-strontium dating; Yilgarn Craton</t>
  </si>
  <si>
    <t>ALBANY MOBILE BELT; WESTERN-AUSTRALIA; YILGARN CRATON; GONDWANA; CONSTRAINTS; ANTARCTICA; AREA</t>
  </si>
  <si>
    <t>Most whole-rock Rb-Sr dates on plutonic rocks of the Yilgarn Craton of Western Australia cluster closely around 2650 Ma. Biotite Rb-Sr dates tend to be 150 to 450 million years younger than the whole-rock dates except at the western margin of the craton where biotite dates are substantially younger. West of a line from Mundaring, east of Perth, to the south coast between Denmark and Walpole, biotite Rb-Sr dates decrease across a transition zone 20-40 km wide to stabilise at the western edge of the craton at about 430 Ma, defining a western domain of relatively young biotite dates. The domain of young dates continues across the southern margin of the craton into the Mesoproterozoic Albany Mobile Belt, where rocks emplaced or strongly metamorphosed between 1200 Ma and 1100 Ma have also been reset to give biotite Rb-Sr dates of about 430 Ma, confirming that the relative positions of the Yilgarn Craton and Albany Mobile Belt were substantially fixed by Early Palaeozoic time. The domain of reset biotite continues to the south coast of Western Australia and can be correlated with biotite with similar dates on the Antarctic continent. The eastern limit of reset biotite dates on the south coast of Western Australia can be correlated with a similar eastward limit of reset dates in Antarctica thus allowing refinement of the fit between the two continents. The resetting of biotite dates in the western biotite domain may be attributable to heating as a consequence of tectonic loading by thrusting during the Late Neoproterozoic or Early Phanerozoic.</t>
  </si>
  <si>
    <t>Geol Survey Western Australia, Perth, WA 6004, Australia; Curtin Univ Technol, Dept Appl Phys, Bentley, WA 6102, Australia</t>
  </si>
  <si>
    <t>Geological Survey of Western Australia; Curtin University</t>
  </si>
  <si>
    <t>Libby, WG (corresponding author), 12 Tranmore Way, City Beach, WA 6015, Australia.</t>
  </si>
  <si>
    <t>0812-0099</t>
  </si>
  <si>
    <t>AUST J EARTH SCI</t>
  </si>
  <si>
    <t>Aust. J. Earth Sci.</t>
  </si>
  <si>
    <t>10.1080/08120099808728417</t>
  </si>
  <si>
    <t>106WF</t>
  </si>
  <si>
    <t>WOS:000075173200012</t>
  </si>
  <si>
    <t>McMinn, A; Bloxham, JJ; Whitehead, J</t>
  </si>
  <si>
    <t>Modern surface sediments and non-deposition in Ellis Fjord, eastern Antarctica</t>
  </si>
  <si>
    <t>Antarctica; biogenic; diatoms; Ellis Fjord; Holocene; sediments</t>
  </si>
  <si>
    <t>BAFFIN-ISLAND; VESTFOLD HILLS; ENVIRONMENTS; CANADA; FACIES; LAKES</t>
  </si>
  <si>
    <t>Ellis Fjord is a small, fjord-like marine embayment in the Vestfold Hills, eastern Antarctica. Modern sediment input is dominated by a biogenic diatom rain, although aeolian. fluvial. ice-rafted, slumped and tidal sediments also make a minor contribution. In areas where bioturbation is significant relict glaciogenic sediments are reworked into the fine-grained diatomaceous sediments to produce poorly sorted fine sands and silts, Where the bottom waters are anoxic, sediments remain unbioturbated and have a high biogenic silica component. Three depositional and non-depositional facies can be recognised in the fjord: an area of non-deposition around the shoreline; a relict morainal facies in areas of low sedimentation and high bioturbation: and a basinal facies in the deeper areas of the fjord.</t>
  </si>
  <si>
    <t>Univ Tasmania, Antarctic CRC, Hobart, Tas 7001, Australia; Univ Tasmania, Inst Antarctic &amp; So Ocean Studies, Hobart, Tas 7001, Australia</t>
  </si>
  <si>
    <t>McMinn, A (corresponding author), Univ Tasmania, Antarctic CRC, Box 252-77, Hobart, Tas 7001, Australia.</t>
  </si>
  <si>
    <t>10.1080/08120099808728419</t>
  </si>
  <si>
    <t>WOS:000075173200014</t>
  </si>
  <si>
    <t>Body mass and parental decisions in the Antarctic petrel Thalassoica antarctica: how long should the parents guard the chick?</t>
  </si>
  <si>
    <t>BEHAVIORAL ECOLOGY AND SOCIOBIOLOGY</t>
  </si>
  <si>
    <t>Antarctica; body mass; body condition; regulation of foraging trips; costs of chick guarding; Antarctic petrel</t>
  </si>
  <si>
    <t>FORAGING TRIPS; WANDERING ALBATROSSES; HALOBAENA-CAERULEA; INCUBATION ROUTINE; PELAGIC SEABIRD; STRATEGY</t>
  </si>
  <si>
    <t>In Procellariiformes, the parents guard the chick after it has attained homeothermy. This strategy may reduce the probability that a small chick is taken by predators, but is costly as only one parent can forage at a time. The decision to leave the chick may therefore be a compromise between the chick's vulnerability to predators, the body condition of the parent on the nest and whether the foraging parent returns in time. We studied how the number of days that parents guarded the chick was related to the body mass of the parent at the nest and the time the foraging parent spent at sea in the Antarctic petrel Thalassoica antarctica. We also examined how the body mass of the parent on the nest and the duration of the foraging trips influenced the chicks' body condition at the end of the guarding period. When the foraging parent did not return to the nest in time to relieve its mate, the number of days the parent on the nest kept guarding the chick was positively related to its body mass on arrival in the colony. The number of days the foraging parent spent at sea was positively related to the body mass of its mate, but those that returned in time had a shorter stay at sea relative to their mate's body mass than those that did not return before their mate had left. Apparently, both the body mass of the parent at the nest and the ability of the foraging parent to adjust its stay at sea to the mate's body mass is important for the number of days the parents guard the chick and also the chick's body condition at this point. The inability to return to the nest before the mate has left may be the result of needing a minimum amount of time at sea to find food, or because some parents having low foraging success and therefore prolong their stay at sea.</t>
  </si>
  <si>
    <t>torkild.tveraa@ninatos.ninaniku.no</t>
  </si>
  <si>
    <t>0340-5443</t>
  </si>
  <si>
    <t>1432-0762</t>
  </si>
  <si>
    <t>BEHAV ECOL SOCIOBIOL</t>
  </si>
  <si>
    <t>Behav. Ecol. Sociobiol.</t>
  </si>
  <si>
    <t>10.1007/s002650050468</t>
  </si>
  <si>
    <t>Behavioral Sciences; Ecology; Zoology</t>
  </si>
  <si>
    <t>Behavioral Sciences; Environmental Sciences &amp; Ecology; Zoology</t>
  </si>
  <si>
    <t>109CC</t>
  </si>
  <si>
    <t>WOS:000075302800001</t>
  </si>
  <si>
    <t>Rodhouse, PG</t>
  </si>
  <si>
    <t>Physiological progenesis in cephalopod molluscs</t>
  </si>
  <si>
    <t>BIOLOGICAL BULLETIN</t>
  </si>
  <si>
    <t>ILLEX-ARGENTINUS; GROWTH; OMMASTREPHIDAE; MATURATION; ENERGETICS; ATLANTIC; FISH</t>
  </si>
  <si>
    <t>The coleoid cephalopods (cuttlefish, squid and octopus) arose from their shelled ancestors during the late Devonian; they diversified in the Jurassic but did not radiate substantially until the Tertiary. Since then they have coevolved with the fish (1). Squid are less efficient Energetically than fish (2) but have survived alongside them by evolving highly opportunistic reproductive and feeding strategies (3, 4) as well as rapid jetting and inking for escape and defense. Little is known about the life history strategies of the fossil forms, but the only surviving shelled cephalopods, the nautiluses, have relatively long life spans and are iteroparous; that is, in common with most members of other molluscan classes, they breed more than once during their lives. In contrast, all other living cephalopods are generally short lived (usually 1 year) and have monocyclic reproduction and a semelparous life history. The short-lived semelparous coleoids are typified by the mid-latitude ommastrephid squid which provide the basic model considered here. This family is relatively primitive and biologically well known. Its members are essentially monocyclic, but some species may spawn their eggs in batches (5, 6), although there is no evidence of this in laboratory spawnings (7). Most loliginid squid, at least in temperate seas, have a life cycle similar to that of the ommastrephids, despite having different spawning habits. A comparison of the lifetime energetics and growth pattern of benthic, iteroparous molluscs with those of the pelagic, semelparous ommastrephids shows that, although some squid may attain a length of 1 m or more, the allocation of their energy resource among growth components is essentially characteristic of the early life, especially the first year, of iteroparous forms. The life time energy budget of these squid thus seems to have evolved by physiological progenesis, a process in which maturation is accelerated while other aspects of the physiology are more typical of the juvenile.</t>
  </si>
  <si>
    <t>British Antarctic Survey, NERC, Cambridge CB5 9BG, England</t>
  </si>
  <si>
    <t>British Antarctic Survey, NERC, High Cross, Cambridge CB5 9BG, England.</t>
  </si>
  <si>
    <t>p.rodhouse@bas.ac.uk</t>
  </si>
  <si>
    <t>0006-3185</t>
  </si>
  <si>
    <t>1939-8697</t>
  </si>
  <si>
    <t>BIOL BULL-US</t>
  </si>
  <si>
    <t>Biol. Bull.</t>
  </si>
  <si>
    <t>10.2307/1542771</t>
  </si>
  <si>
    <t>Biology; Marine &amp; Freshwater Biology</t>
  </si>
  <si>
    <t>Life Sciences &amp; Biomedicine - Other Topics; Marine &amp; Freshwater Biology</t>
  </si>
  <si>
    <t>120UX</t>
  </si>
  <si>
    <t>WOS:000075976700004</t>
  </si>
  <si>
    <t>Berrow, SD; O'Neill, M; Brogan, D</t>
  </si>
  <si>
    <t>Discarding practices and marine mammal by-catch in the Celtic Sea herring fishery</t>
  </si>
  <si>
    <t>BIOLOGY AND ENVIRONMENT-PROCEEDINGS OF THE ROYAL IRISH ACADEMY</t>
  </si>
  <si>
    <t>FISHING GEAR; CETACEANS; MORTALITY; TRAWL</t>
  </si>
  <si>
    <t>Pelagic fisheries account for 83% of the total number of fish landed into Irish ports, with mackerel Scomber scrombrus, horse-mackerel Trachurus trachurus and herring Clupea harengus constituting 97% of this. Despite the importance of pelagic fish species, there is little published information on discarding practices for most Irish trawl fisheries and no study of marine mammal by-catch. Fisheries scientists accompanied commercial trawlers fishing herring in the Celtic Sea during the 1994/5 season. During the study, 85 days were spent at sea, with 78 tows monitored, amounting to 101h of fishing effort, which was 7% of the total effort in the fishery. Most fishing was carried out in International Council for the Exploration of the Sea (ICES) divisions VIIg01, VIIg02 and VIIa20, and most fish were caught in VIIS01 and VIIa20. The fishery was very selective, with 99.5% of the total weight of the catch being the target species. Mean size (+/-SE) of herring caught was extremely consistent, ranging from 24.8 +/- 12.7cm in October to 26.0 +/- 2.0cm in January. Overall, 1270 tonnes of fish were observed being caught, of which 1214 tonnes were landed and 57 tonnes discarded (4.7%). Whiting Merlangius merlangus was the most frequently recorded non-target fish species; mackerel and horse-mackerel were also frequently caught. Four grey seals Halichoerus grypus were caught during the study at a rate of one per 317.5 tonnes of fish or 0.05 seals per tow. This catch rate extrapolates to around 60 seals caught in the fishery, which is not thought to have a significant impact on the Irish seal population.</t>
  </si>
  <si>
    <t>Natl Univ Ireland Univ Coll Cork, Dept Zool, Cork, Ireland</t>
  </si>
  <si>
    <t>University College Cork</t>
  </si>
  <si>
    <t>Berrow, SD (corresponding author), British Antarctic Survey, Cambridge CB3 0ET, England.</t>
  </si>
  <si>
    <t>ROYAL IRISH ACADEMY</t>
  </si>
  <si>
    <t>DUBLIN</t>
  </si>
  <si>
    <t>19 DAWSON STREET, DUBLIN 2, IRELAND</t>
  </si>
  <si>
    <t>0791-7945</t>
  </si>
  <si>
    <t>BIOL ENVIRON</t>
  </si>
  <si>
    <t>Biol. Environ.-Proc. R. Irish Acad.</t>
  </si>
  <si>
    <t>98B</t>
  </si>
  <si>
    <t>Biology; Environmental Sciences</t>
  </si>
  <si>
    <t>Life Sciences &amp; Biomedicine - Other Topics; Environmental Sciences &amp; Ecology</t>
  </si>
  <si>
    <t>201PQ</t>
  </si>
  <si>
    <t>WOS:000080604400001</t>
  </si>
  <si>
    <t>Peters, G; Saborowski, R; Mentlein, R; Buchholz, F</t>
  </si>
  <si>
    <t>Isoforms of an N-acetyl-β-D-glucosaminidase from the Antarctic krill, Euphausia superba:: purification and antibody production</t>
  </si>
  <si>
    <t>COMPARATIVE BIOCHEMISTRY AND PHYSIOLOGY B-BIOCHEMISTRY &amp; MOLECULAR BIOLOGY</t>
  </si>
  <si>
    <t>antibody; chitinase; chromatography; digestion; enzyme purification; krill; meganyctiphanes norvegica; molting; NAGase; temperature adaptation</t>
  </si>
  <si>
    <t>CHITINOLYTIC ENZYMES; MOLT CYCLE; CHITINASE</t>
  </si>
  <si>
    <t>Two forms of the chitinolytic enzyme N-acetyl-beta-D-glucosaminidase (NAGase, EC 3.2.1.52) have been isolated from the Antarctic krill, Euphausia superba, in order to study their potential role in temperature adaptation processes. A chromatographic protocol was developed that allowed complete separation of the two enzyme forms, named NAGase B and NAGase C. The latter was purified to homogeneity with 600-fold enrichment and a yield of 17%. The molecular mass was 150 kDa. NAGase B showed characteristics of a glycoprotein due to affinity towards concanavalin A sepharose, while NAGase C did not. Highly specific polyclonal antibodies to NAGase C [anti-(E. superba-NAGase C)-IgG] showed only negligible cross-reactivity with NAGase B isoforms. A comparison with the Northern krill, Meganyctiphanes norvegica,revealed a corresponding chromatographic pattern with two main activity peaks, for differentiation named NAGase II and NAGase III. Application of the antibody on M. norvegica revealed a high specificity toward NAGase III and a low cross-reactivity with NAGase II. First indication is given that the two forms are no isoenzymes in a strict sense but instead may have different functions in the metabolism of krill. (C) 1998 Elsevier Science Inc. All rights reserved.</t>
  </si>
  <si>
    <t>Inst Meereskunde, Abt Zool, D-24105 Kiel, Germany; Biol Anstalt Helgoland, D-27498 Helgoland, Germany; Univ Kiel, Inst Anat, D-24118 Kiel, Germany</t>
  </si>
  <si>
    <t>Helmholtz Association; Alfred Wegener Institute, Helmholtz Centre for Polar &amp; Marine Research; University of Kiel</t>
  </si>
  <si>
    <t>Peters, G (corresponding author), Inst Meereskunde, Abt Zool, Dusternbrooker Weg 20, D-24105 Kiel, Germany.</t>
  </si>
  <si>
    <t>Mentlein, Rolf/B-1613-2010</t>
  </si>
  <si>
    <t>Mentlein, Rolf/0000-0002-6350-3911; Saborowski, Reinhard/0000-0003-0289-6501</t>
  </si>
  <si>
    <t>0305-0491</t>
  </si>
  <si>
    <t>COMP BIOCHEM PHYS B</t>
  </si>
  <si>
    <t>Comp. Biochem. Physiol. B-Biochem. Mol. Biol.</t>
  </si>
  <si>
    <t>10.1016/S0305-0491(98)10073-1</t>
  </si>
  <si>
    <t>Biochemistry &amp; Molecular Biology; Zoology</t>
  </si>
  <si>
    <t>134WU</t>
  </si>
  <si>
    <t>WOS:000076767400015</t>
  </si>
  <si>
    <t>O'Neil, L; Paynter, SJ; Fuller, BJ; Shaw, RW; DeVries, AL</t>
  </si>
  <si>
    <t>Vitrification of mature mouse oocytes in a 6 M Me2SO solution supplemented with antifreeze glycoproteins:: The effect of temperature</t>
  </si>
  <si>
    <t>mouse oocyte; vitrification; dimethyl sulfoxide; antifreeze glycoproteins</t>
  </si>
  <si>
    <t>HIGH SURVIVAL; MEIOTIC SPINDLE; EMBRYOS; CRYOPRESERVATION; GLYCOPEPTIDES; FERTILIZATION; FISHES; PRESERVATION; LANGERHANS; EXPOSURE</t>
  </si>
  <si>
    <t>Oocytes have been successfully cryopreserved using rapid and slow freezing procedures. However, variability in the success of replicates has limited its practical application. In the present study, mature mouse oocytes were vitrified in 6 M dimethyl sulfoxide supplemented with 1 mg/ml antifreeze glycoproteins (AFGP) (solution known as VSD + AFGP) from the blood of Antarctic notothenioid fish. Such AFGPs have been used to protect mammalian cells during hypothermia and cryopreservation. However, the degree of protection afforded is a contentious issue. Stepwise addition of cryoprotectant was performed either at room temperature (19-21 degrees C) or on ice (2-4 degrees C), at the final stage of which oocytes were pipetted into 0.25 mi plastic insemination straws and held in liquid nitrogen vapor at -140 degrees C for 3 min before being plunged into liquid nitrogen. Thawing involved holding the straw in the air for 10 s and then in water at 20 degrees C for 10 s before dilution of the VSD solution with 1 M sucrose. Viability was assessed by in vitro fertilization; results have been quoted as median (range). Statistical analyses were performed using Kruskall-Wallis and Mann-Whitney U tests (P &lt; 0.05). Of the oocytes cryopreserved following exposure to VSD + AFGP at room temperature (n = 518, 15 experimental runs), 78% (0-94%) retained normal morphology and, of these, 53% (0-100%) cleaved to two cells. Of these two-cell embryos, 56% (0-100%) went on to develop to blastocyst. The overall percentage development to blastocyst, i.e., number of blastocysts/total number of oocytes treated x 100, was 20% (0-76%). Exposure of oocytes to the VSD + AFGP on ice prior to cryopreservation yielded significantly improved rates of fertilization (94%, 82-100%) and overall development to blastocyst (66%, 24-89%) when compared with oocytes cryopreserved following exposure to the VSD + AFGP at room temperature. Rates of normality (86%, 35-95%) and development to blastocyst (89%, 64-100%) were also improved. Cryopreservation in 6 M dimethyl sulfoxide supplemented with 1 mg/ml AFGP resulted in poor rates of survival which were highly variable when exposure to cryoprotective agent (CPA) was performed at room temperature. Lowering the temperature of exposure to CPA prior to cryopreservation resulted in improved viability, (C) 1998 Academic Press.</t>
  </si>
  <si>
    <t>Univ Wales Coll Med, Dept Obstet &amp; Gynaecol, Cardiff CF4 4XN, S Glam, Wales; Univ Illinois, Dept Mol &amp; Integrat Physiol, Urbana, IL 61801 USA</t>
  </si>
  <si>
    <t>Cardiff University; University of Illinois System; University of Illinois Urbana-Champaign</t>
  </si>
  <si>
    <t>O'Neil, L (corresponding author), Univ Wales Coll Med, Dept Obstet &amp; Gynaecol, Heath Pk, Cardiff CF4 4XN, S Glam, Wales.</t>
  </si>
  <si>
    <t>10.1006/cryo.1998.2098</t>
  </si>
  <si>
    <t>110EF</t>
  </si>
  <si>
    <t>WOS:000075366600007</t>
  </si>
  <si>
    <t>Rubin, SI; Takahashi, T; Chipman, DW; Goddard, JG</t>
  </si>
  <si>
    <t>Primary productivity and nutrient utilization ratios in the Pacific sector of the Southern Ocean based on seasonal changes in seawater chemistry</t>
  </si>
  <si>
    <t>ROSS SEA; WEDDELL SEA; ICE-EDGE; BRANSFIELD STRAIT; ANTARCTIC WATERS; BIOGENIC SILICA; STANDING CROP; SCOTIA SEAS; PHYTOPLANKTON; IRON</t>
  </si>
  <si>
    <t>In the austral winter (September-October) of 1994, a hydrographic cruise in the Pacific sector of the Southern Ocean (NBP94-5) was completed, complementing two austral summer cruises (February-March) in 1992 (WOCE S4-P) and 1994 (NBP94-2) in the same area. During all three cruises, the partial pressure of carbon dioxide and concentration of total carbon dioxide dissolved in seawater were determined throughout the water column, accompanied by oxygen and nutrient measurements. Seasonal changes in CO2 and nutrients observed in the mixed layer above the remnant winter water were used to estimate utilization ratios, primary productivity, and new production. The mean rate of primary production over 120 days ranged from 6 to 24 mmol Cm-2 d(-1), consistent with the notion of the Southern Ocean as a low productivity area. Primary production was highest in the northern limb of the Ross Sea Gyre, where the wintertime vertical stability of the upper water column was lower. The circulation patterns and nutrient distributions in the region studied appear to influence the primary production rates observed. The ratio of biogenic silica to carbon was found to be 0.66 +/- 0.02. The observed N/P utilization ratio of 13.0 +/- 1.2 and C/P utilization ratio of 91.4 +/- 7.9 are both significantly lower than the traditional Redfield ratios of 16 and 106, respectively. The former is, however, consistent with the Delta N/Delta P regeneration ratio of 14.0 +/- 0.3 discerned for deep waters south of the Polar Front. Hence, the classical C/P and N/P Redfield ratios do not appear to hold in Antarctic waters. On the other hand, the C/N utilization ratio of 6.9 +/- 0.6 does agree with the Redfield ratio of 6.6 (106/16). This C/N ratio also agrees with the ratio obtained for surface particulate organic matter (POM) taken during the WOCE S4-P cruise along 67 degrees S. Accordingly, the biological cycles of carbon and nitrogen in the Southern Ocean appear to be Redfieldian. (C) 1998 Elsevier Science Ltd. All rights reserved.</t>
  </si>
  <si>
    <t>Columbia Univ, Lamont Doherty Geol Observ, Palisades, NY 10964 USA</t>
  </si>
  <si>
    <t>Rubin, SI (corresponding author), Columbia Univ, Lamont Doherty Geol Observ, Palisades, NY 10964 USA.</t>
  </si>
  <si>
    <t>Mason, Stephany/0000-0002-8555-5894</t>
  </si>
  <si>
    <t>10.1016/S0967-0637(98)00021-1</t>
  </si>
  <si>
    <t>120VP</t>
  </si>
  <si>
    <t>WOS:000075978300001</t>
  </si>
  <si>
    <t>Ichii, T; Katayama, K; Obitsu, N; Ishii, H; Naganobu, M</t>
  </si>
  <si>
    <t>Occurrence of Antarctic krill (Euphausia superba) concentrations in the vicinity of the South Shetland Islands: relationship to environmental parameters</t>
  </si>
  <si>
    <t>EARLY LIFE-HISTORY; ELEPHANT-ISLAND; WEDDELL SEA; ICE-EDGE; PHYTOPLANKTON DISTRIBUTION; BRANSFIELD STRAIT; VARIABILITY; POPULATION; ABUNDANCE; BIOMASS</t>
  </si>
  <si>
    <t>The influences of abiotic and biotic parameters on the occurrence of Antarctic krill (Euphausia superba) concentrations were studied in the waters north of the South Shetland Islands, a major krill fishing ground in the Antarctic, during the 1990/1991 austral summer. From early to mid-summer krill density increased and showed distinct offshore-inshore differences in abundance and maturity stages. In mid-summer, krill density was low in the oceanic zone (8 gm(-2)) and higher in the slope frontal zone (36 gm(-2)), being highest along the shelf break (131 gm(-2)) in the inshore zone. Krill were in the reproductive stage in the oceanic and frontal zones, but non-reproductive in the inshore zone. Water circulation, food and frontal features were considered important environmental factors determining the occurrence of high krill concentrations in these waters. Drifting buoys indicated that the surface water circulation in areas of krill concentrations was characterized by a sluggish current with eddies along the shelf break in the inshore zone and a shear current in the frontal zone, thus enhancing the residence time for krill. Diatom abundance in both the frontal and inshore zones increased from early to mid-summer, improving krill feeding conditions. Gravid females were closely associated with the frontal zone, showing that the latter may also be a favored spawning area because of the higher probability of survival for embryos and larvae, in addition to enhanced opportunities for their transport to nursery grounds by prevailing currents. In the waters north of the South Shetland Islands, krill appeared to be highly adapted for exploitation of the rich food resources of the frontal/inshore zone, taking advantage of oceanographic features that led to their retention in these zones. (C) 1998 Elsevier Science Ltd. All rights reserved.</t>
  </si>
  <si>
    <t>Natl Res Inst Far Seas Fisheries, Shimzu 4248633, Japan; Tokai Univ, Fac Marine Sci &amp; Technol, Shimizu, Shizuoka 4248610, Japan</t>
  </si>
  <si>
    <t>Japan Fisheries Research &amp; Education Agency (FRA); Tokai University</t>
  </si>
  <si>
    <t>Ichii, T (corresponding author), Natl Res Inst Far Seas Fisheries, 5-7-1 Orido, Shimzu 4248633, Japan.</t>
  </si>
  <si>
    <t>10.1016/S0967-0637(98)00011-9</t>
  </si>
  <si>
    <t>WOS:000075978300002</t>
  </si>
  <si>
    <t>Zubkov, MV; Sleigh, MA; Tarran, GA; Burkill, PH; Leakey, RJG</t>
  </si>
  <si>
    <t>Picoplanktonic community structure on an Atlantic transect from 50°N to 50°S</t>
  </si>
  <si>
    <t>MULTIPLE EVOLUTIONARY ORIGINS; FLOW CYTOMETRIC ANALYSIS; NORTH PACIFIC-OCEAN; BACTERIAL BIOMASS; MARINE-BACTERIA; GENE SEQUENCE; EUPHOTIC ZONE; SARGASSO-SEA; CELL-CYCLE; SYNECHOCOCCUS</t>
  </si>
  <si>
    <t>Plankton samples were collected from 10 depths at 25 stations spaced at intervals of about 4 degrees of latitude along a transect from the British Isles to the Falkland Islands. Four categories of picoplankton were discriminated: Synechococcus spp., Prochlorococcus spp., eukaryotic picophytoplankton and heterotrophic bacteria. The populations in each category in the samples were counted by flow cytometry and the mean size of bacterial cells was determined by fractionation through filters. Categories of phototrophic cells were discriminated by size and by the fluorescence of photosynthetic pigments; samples stained with the fluorochrome TOTO were used to enumerate heterotrophic bacteria (and Prochlorococcus in surface waters where their chlorophyll content was very small). The carbon biomass concentration of each category in each sample was calculated. Prochlorococcus was present at all stations between 47 degrees N and 38 degrees S, and reached peak population densities above 200,000 cells ml(-1) in equatorial waters; the depth occupied by these cells increased in oligotrophic waters, where they dominated picophytoplankton biomass. Synechococcus reached high concentrations in the Mauritanian upwelling region and in the frontal region near the southern end of the transect, where they represented the largest single component of picophytoplankton biomass, but was almost absent in oligotrophic regions. Picoeukaryotes were present in low numbers at all latitudes, but they are larger cells and constituted a substantial part of the total picophytoplankton biomass at most latitudes. The depth-integrated (200 m) biomass of heterotrophic bacteria was nearly as great as that of the picophytoplankton at all latitudes, because substantial numbers of cells occurred at all depths. Numbers and biomass of these bacteria were maximal in the upwelling region and high at both ends of the transect. There was a clear contrast in the composition of the picoplankton community in both the North and South Atlantic between mesotrophic waters where Synechococcus and picoeukaryotes dominated the biomass, and oligotrophic waters where the smaller total biomass was dominated by Prochlorococcus. (C) 1998 Elsevier Science Ltd. All rights reserved.</t>
  </si>
  <si>
    <t>Univ Southampton, Sch Biol Sci, Southampton SO16 7PX, Hants, England; Plymouth Marine Lab, Plymouth PL1 3DH, Devon, England; British Antarctic Survey, Cambridge CB3 0ET, England</t>
  </si>
  <si>
    <t>University of Southampton; Plymouth Marine Laboratory; UK Research &amp; Innovation (UKRI); Natural Environment Research Council (NERC); NERC British Antarctic Survey</t>
  </si>
  <si>
    <t>Sleigh, MA (corresponding author), Univ Southampton, Sch Biol Sci, Bassett Crescent E, Southampton SO16 7PX, Hants, England.</t>
  </si>
  <si>
    <t>Moreno, Valter/M-4278-2013; Zubkov, Mikhail/AAW-9674-2020</t>
  </si>
  <si>
    <t>Zubkov, Mikhail/0000-0001-7723-6810</t>
  </si>
  <si>
    <t>10.1016/S0967-0637(98)00015-6</t>
  </si>
  <si>
    <t>WOS:000075978300007</t>
  </si>
  <si>
    <t>Cripps, GC; Hill, HJ</t>
  </si>
  <si>
    <t>Changes in lipid composition of copepods and Euphausia superba associated with diet and environmental conditions in the marginal ice zone, Bellingshausen Sea, Antarctica</t>
  </si>
  <si>
    <t>FATTY-ACID; CALANOID COPEPODS; HERBIVOROUS COPEPODS; COMMUNITY STRUCTURE; MARINE ZOOPLANKTON; DIATOM COMMUNITIES; RHINCALANUS-GIGAS; TROPHIC MARKERS; SOUTHERN-OCEAN; WAX ESTERS</t>
  </si>
  <si>
    <t>The effect of varying diet and environmental conditions at the Marginal Ice Zone (MIZ) on the fatty acid and hydrocarbon compositions of five species of copepod and krill, Euphausia superba, was investigated. Zooplankton at the MIZ experienced a range of conditions, from a low algal biomass (mainly flagellates) under pack-ice to a spring bloom dominated by diatoms in the open ocean. Principal Component Analysis classified the copepods into three dietary regimes: (i) omnivores or general algal feeders under the pack ice, (ii) dinoflagellate feeders, and (iii) diatom feeders in the open ocean. This classification was supported by the distribution of the diatom marker n-heneicosahexaene (n-C-21:6) and a general indicator of herbivory, the isoprenoid pristane. The fatty acid and hydrocarbon composition reflected dietary preferences and availability as the season progressed. Of the copepods under the pack-ice, Oithona spp. was omnivorous whereas Calanus propinquus was feeding preferentially on flagellates. Metridia gerlachei fed on flagellates in all conditions, but also included diatoms in its diet during the bloom. Calanoides acutus and Rhincalanus gigas, which passed the winter in diapause, were feeding almost exclusively on diatoms in the open ocean. Euphausia superba, which were also mainly diatom feeders in the open ocean, were feeding on the sea-ice algae (diatoms) and suspended material from the water column (dinoflagellates) under the pack-ice. (C) 1998 Elsevier Science Ltd. All rights reserved.</t>
  </si>
  <si>
    <t>Cripps, GC (corresponding author), British Antarctic Survey, NERC, High Cross,Madingley Rd, Cambridge CB3 0ET, England.</t>
  </si>
  <si>
    <t>10.1016/S0967-0637(98)00022-3</t>
  </si>
  <si>
    <t>WOS:000075978300008</t>
  </si>
  <si>
    <t>Vlastelic, I; Dosso, L; Guillou, H; Bougault, H; Geli, L; Etoubleau, J; Joron, JL</t>
  </si>
  <si>
    <t>Geochemistry of the Hollister Ridge: relation with the Louisville hotspot and the Pacific-Antarctic Ridge</t>
  </si>
  <si>
    <t>heterogeneity; mixing; mid-ocean ridges; hot spots</t>
  </si>
  <si>
    <t>SOUTHWEST INDIAN RIDGE; TRACE-ELEMENT; FRACTURE-ZONE; ISOTOPE; MANTLE; OCEAN; EVOLUTION; BASALTS; RISE; PB</t>
  </si>
  <si>
    <t>The Hollister Ridge is located on the western flank of the Pacific-Antarctic Ridge (PAR), between the Udintsev fracture zone (FZ) and the Eltanin fault system. It is a linear aseismic structure, 450 km long, oblique with respect to the PAR. Data show that the most recent activity is located in the central part of the chain, which can be considered as being still volcanically active. Both major/trace element and isotopic data suggest that some interaction occurred between the Pacific-Antarctic Ridge and the Hollister Ridge. The source of the Hollister Ridge samples has its own geochemical characteristics. The geochemical variations observed along the ridge can be explained by mixing between two major end-member components: (1) a PAR depleted source, and (2) a Hollister enriched source. A small contribution (20% maximum) of Louisville plume material is likely to exist in the middle of Hollister Ridge. These data unequivocally reject the possibility that the Hollister Ridge could be the present location of the Louisville hotspot, Ages and geochemistry data support the idea of an influence of intraplate deformation as a probable cause of the origin of the Hollister Ridge. (C) 1998 Elsevier Science B.V. All rights reserved.</t>
  </si>
  <si>
    <t>IFREMER, UMR 6538, F-29280 Plouzane, France; CEA, Ctr Faibles Radioactiv, CNRS, F-91198 Gif Sur Yvette, France; IFREMER, F-29280 Plouzane, France; CENS, Lab Pierre Sue, Grp Sci Terre, F-91191 Gif Sur Yvette, France</t>
  </si>
  <si>
    <t>Centre National de la Recherche Scientifique (CNRS); CNRS - National Institute for Earth Sciences &amp; Astronomy (INSU); Universite de Bretagne Occidentale; Ifremer; CEA; Universite Paris Saclay; Centre National de la Recherche Scientifique (CNRS); Ifremer; Universite Paris Saclay; CEA</t>
  </si>
  <si>
    <t>IFREMER, UMR 6538, Domaines Ocean,BP 70, F-29280 Plouzane, France.</t>
  </si>
  <si>
    <t>ivan.vlastelic@ifremer.fr</t>
  </si>
  <si>
    <t>Dosso, Laure/A-9520-2009</t>
  </si>
  <si>
    <t>Guillou, Herve/0000-0002-4811-7668; Geli, Louis/0000-0001-7049-4577</t>
  </si>
  <si>
    <t>10.1016/S0012-821X(98)00127-7</t>
  </si>
  <si>
    <t>118JP</t>
  </si>
  <si>
    <t>WOS:000075835000041</t>
  </si>
  <si>
    <t>Chown, SL; Gaston, KJ; Williams, PH</t>
  </si>
  <si>
    <t>Global patterns in species richness of pelagic seabirds: the Procellariiformes</t>
  </si>
  <si>
    <t>ECOGRAPHY</t>
  </si>
  <si>
    <t>SOUTHERN-OCEAN; WANDERING ALBATROSSES; NEW-WORLD; PREHISTORIC EXTINCTIONS; LATITUDINAL GRADIENTS; SATELLITE TRACKING; MARINE-ENVIRONMENT; DIOMEDEA-EXULANS; SCALE PATTERNS; INDIAN-OCEAN</t>
  </si>
  <si>
    <t>Quantitative information on large scale spatial patterns of biodiversity remains poor, especially for pelagic systems. In this paper the regional diversity of procellariiforms is mapped worldwide at the species level. These seabirds do not display a conventional latitudinal gradient of decreasing species richness towards high latitudes, but rather are most speciose between 37 degrees and 59 degrees S in all ocean basins. Based on data for foraging ranges, areas with the highest species richness and the most species with smaller range sizes are all found in the vicinity of New Zealand and its sub-Antarctic islands. In contrast, data for breeding ranges show islands in the southern Indian and Atlantic oceans to have the highest number of breeding species, while these islands and New Zealand have the most species with smaller range sizes. No northern hemisphere regions are amongst the top ten grid cells for foraging and breeding species richness, although Hawaii has the highest species richness of procellariiforms north of the equator. Northern Baja California, Madeira, the Canary islands, and the west coast of South America are all important sites of narrow endemism in the northern hemisphere. High species richness and narrow endemism coincide with areas of significant longline fishing activity in the southern hemisphere. Near-minimum sets based on one and three representations demonstrate that if all procellariiform species are to be retained, large areas of the ocean and almost all breeding sites require conservation.</t>
  </si>
  <si>
    <t>Univ Pretoria, Dept Zool &amp; Entomol, ZA-0002 Pretoria, South Africa; Univ Sheffield, Dept Anim &amp; Plant Sci, Sheffield S10 2TN, S Yorkshire, England; Nat Hist Museum, Biogeog &amp; Conservat Lab, London SW7 5BD, England</t>
  </si>
  <si>
    <t>University of Pretoria; University of Sheffield; Natural History Museum London</t>
  </si>
  <si>
    <t>stevec@scientia.up.ac.za</t>
  </si>
  <si>
    <t>0906-7590</t>
  </si>
  <si>
    <t>1600-0587</t>
  </si>
  <si>
    <t>Ecography</t>
  </si>
  <si>
    <t>10.1111/j.1600-0587.1998.tb00399.x</t>
  </si>
  <si>
    <t>107PW</t>
  </si>
  <si>
    <t>WOS:000075218800002</t>
  </si>
  <si>
    <t>Flegal, AR</t>
  </si>
  <si>
    <t>Clair Patterson's influence on environmental research - Introduction</t>
  </si>
  <si>
    <t>ENVIRONMENTAL RESEARCH</t>
  </si>
  <si>
    <t>ANTHROPOGENIC LEAD; ANTARCTIC ICE; ISOTOPIC COMPOSITIONS; NORTHEAST PACIFIC; INDUSTRIAL LEAD; SURFACE WATERS; SEDIMENTS; CADMIUM; SNOW; THALLIUM</t>
  </si>
  <si>
    <t>Univ Calif Santa Cruz, WIGS, Santa Cruz, CA 95064 USA</t>
  </si>
  <si>
    <t>University of California System; University of California Santa Cruz</t>
  </si>
  <si>
    <t>Flegal, AR (corresponding author), Univ Calif Santa Cruz, WIGS, Santa Cruz, CA 95064 USA.</t>
  </si>
  <si>
    <t>0013-9351</t>
  </si>
  <si>
    <t>ENVIRON RES</t>
  </si>
  <si>
    <t>Environ. Res.</t>
  </si>
  <si>
    <t>10.1006/enrs.1998.3861</t>
  </si>
  <si>
    <t>Environmental Sciences; Public, Environmental &amp; Occupational Health</t>
  </si>
  <si>
    <t>Environmental Sciences &amp; Ecology; Public, Environmental &amp; Occupational Health</t>
  </si>
  <si>
    <t>113EV</t>
  </si>
  <si>
    <t>WOS:000075538200001</t>
  </si>
  <si>
    <t>Hong, SM; Boutron, CF; Edwards, R; Morgan, VI</t>
  </si>
  <si>
    <t>Heavy metals in Antarctic ice from Law Dome: Initial results</t>
  </si>
  <si>
    <t>Antarctica; ice; lead; cadmium; copper; zinc; global pollution; atomic absorption spectrometry</t>
  </si>
  <si>
    <t>GREENLAND ICE; ANTHROPOGENIC LEAD; CADMIUM CONCENTRATIONS; RECENT SNOW; ISOTOPIC EVIDENCE; NORTH PACIFIC; ANCIENT ICE; LATE 1960S; ZINC; COPPER</t>
  </si>
  <si>
    <t>Pb, Cd, Cu, and Zn have been measured using ultraclean procedures in eight sections taken from two well-dated ice cores from Law Dome, an independent small size ice cap with high accumulation rate situated in the coastal area of East Antarctica. Seven sections were dated from the 1830s to 1940s and one was dated from three millennia ago. The data show that there are strong seasonal variations in the concentrations of Pb and Cd, with values similar to two- to fourfold higher in winter than in spring-summer. Evaluation of the contributions from the different sources suggests that contribution from sea salt spray is relatively important, especially for Cd. Contribution from marine biogenic emissions could also be very significant. The importance of marine contributions is consistent with strong intrusions of marine air masses at this coastal site, especially during wintertime. (C) 1998 Academic Press.</t>
  </si>
  <si>
    <t>CNRS, Lab Glaciol &amp; Geophys Environm, F-38402 St Martin Dheres, France; Korea Ocean Res &amp; Dev Inst, Polar Res Ctr, Seoul 425600, South Korea; Univ Grenoble 1, UFR Mecan, Inst Univ France, F-38041 Grenoble, France; Univ Tasmania, Inst Antarctic &amp; So Ocean Studies, Hobart, Tas 7001, Australia; Antarctic CRC &amp; Australian Antarctiv Div, Hobart, Tas 7001, Australia</t>
  </si>
  <si>
    <t>Centre National de la Recherche Scientifique (CNRS); Korea Institute of Ocean Science &amp; Technology (KIOST); Communaute Universite Grenoble Alpes; Universite Grenoble Alpes (UGA); Institut Universitaire de France; University of Tasmania; Australian Antarctic Division</t>
  </si>
  <si>
    <t>Boutron, CF (corresponding author), CNRS, Lab Glaciol &amp; Geophys Environm, 54 Rue Moliere,Domaine Univ,BP 96, F-38402 St Martin Dheres, France.</t>
  </si>
  <si>
    <t>Edwards, Ross/B-1433-2013</t>
  </si>
  <si>
    <t>Edwards, Ross/0000-0002-9233-8775</t>
  </si>
  <si>
    <t>ACADEMIC PRESS INC ELSEVIER SCIENCE</t>
  </si>
  <si>
    <t>10.1006/enrs.1998.3849</t>
  </si>
  <si>
    <t>WOS:000075538200005</t>
  </si>
  <si>
    <t>Benoit, JM; Fitzgerald, WF; Damman, AWH</t>
  </si>
  <si>
    <t>The biogeochemistry of an ombrotrophic bog: Evaluation of use as an archive of atmospheric mercury deposition</t>
  </si>
  <si>
    <t>LAKE-SEDIMENTS; ANTARCTIC ICE; ANTHROPOGENIC INFLUENCES; NORTH-AMERICA; HEAVY METALS; PEAT BOGS; LEAD; WATERS; SEAWATER; ZINC</t>
  </si>
  <si>
    <t>The utility of ombrotrophic bogs as archives of atmospheric mercury deposition was assessed with an investigation in Arlberg Bog, Minnesota, U.S.A. Since the use of ombrotrophic bogs as archives depends on the immobility of deposited trace metals, we examined the postdepositional transport processes revealed by the solid-phase distributions of mercury and ancillary metals (Fe, Al, Mn, and Pb) in this bog. We modeled metal speciation in bog pore-waters as a function of pe in order to understand metal behavior in ombrotrophic peat. Specifically, we considered the effect of water movement and resultant shifts in redox potential gradients on metal retention. Our results indicate that Hg and Pb are immobile in ombrotrophic peat, so their distribution can be used to determine temporal changes in deposition. To substantiate the deposition estimates determined in this study, we emphasized the importance of confirming the validity of the dating scheme, assessing the degree of horizontal homogeneity in the accumulation record, and providing evidence for retention of Hg based on geochemical modeling. As recorded in Arlberg Bog, historic atmospheric Hg deposition increased gradually after the mid-1800s, peaked between 1950 and 1960, and may have declined thereafter. Preindustrial deposition was about 4 mu g/m(2) year and recent deposition about 19 mu g/m(2) year. The results of this study indicate that deposition at Arlberg Bog has been influenced by a regional and/or local-scale source. (C) 1998 Academic Press.</t>
  </si>
  <si>
    <t>Univ Connecticut, Dept Marine Sci, Groton, CT 06340 USA; Univ Connecticut, Dept Ecol &amp; Evolutionary Biol, Storrs, CT 06269 USA</t>
  </si>
  <si>
    <t>University of Connecticut; University of Connecticut</t>
  </si>
  <si>
    <t>Univ Maryland, Chesapeake Biol Lab, Solomons, MD 20688 USA.</t>
  </si>
  <si>
    <t>1096-0953</t>
  </si>
  <si>
    <t>10.1006/enrs.1998.3850</t>
  </si>
  <si>
    <t>WOS:000075538200008</t>
  </si>
  <si>
    <t>Brack, A; Pillinger, CT</t>
  </si>
  <si>
    <t>Life on Mars: chemical arguments and clues from Martian meteorites</t>
  </si>
  <si>
    <t>EXTREMOPHILES</t>
  </si>
  <si>
    <t>carbonates; isotopes; Mars; Martian meteorites; micrometeorites; nanofossils; prebiotic chemistry</t>
  </si>
  <si>
    <t>AMINO-ACIDS; ORIGIN; NITROGEN; ALH84001; CARBON; EARTH; SPECTROMETER; VEGA-1; GASES; SOIL</t>
  </si>
  <si>
    <t>Primitive terrestrial life - defined as a chemical system able to transfer its molecular information via self-replication and to evolve - probably originated from the evolution of reduced organic molecules in liquid water. Several sources have been proposed for the prebiotic organic molecules: terrestrial primitive atmosphere (methane or carbon dioxide), deep-sea hydrothermal systems, and extraterrestrial meteoritic and cometary dust grains. The study of carbonaceous chondrites, which contain up to 5% by weight of organic matter, has allowed close examination of the delivery of extraterrestrial organic material. Eight proteinaceous amino acids have been identified in the Murchison meteorite among more than 70 amino acids. Engel reported that L-alanine was surprisingly more abundant than D-alanine in the Murchison meteorite. Cronin also found excesses of L-enantiomers for nonprotein amino acids. A large collection of micrometeorites has been recently extracted from Antarctic old blue ice. In the 50- to 100-mu m size range, carbonaceous micrometeorites represent 80% of the samples and contain 2% of carbon, on average. They might have brought more carbon than that involved in the present surficial biomass. The early histories of Mars and Earth clearly show similarities. Liquid water was once stable on the surface of Mars, attesting the presence of an atmosphere capable of deccelerating C-rich micrometeorites. Therefore, primitive life may have developed on Mars as well and fossilized microorganisms may still be present in the near subsurface. The Viking missions to Mars in 1976 did not find evidence of either contemporary or past life, but the mass spectrometer on the lander aeroshell determined the atmospheric composition, which has allowed a family of meteorites to be identified as Martian. Although these samples are essentially volcanic in origin, it has been recognized that some of them contain carbonate inclusions and even veins that have a carbon isotopic composition indicative of an origin from Martian atmospheric carbon dioxide. The oxygen isotopic composition of these carbonate deposits allows calculation of the temperature regime existing during formation from a fluid that dissolved the carbon dioxide. As the composition of the fluid is unknown, only a temperature range can be estimated, but this falls between 0 degrees and 90 degrees C, which would seem entirely appropriate for life processes. It was such carbonate veins that were found to host putative microfossils. Irrespective of the existence of features that could be considered to be fossils, carbonate-rich portions of Martian meteorites tend to have material, at more than 1000ppm, that combusts at a low temperature; i.e., it is an organic form of carbon. Unfortunately, this organic matter does not have a diagnostic isotopic signature so it cannot be unambiguously said to be indigenous to the samples. However, many circumstantial arguments can be made to the effect that it is cogenetic with the carbonate and hence Martian. If it could be proved that the organic matter was preterrestrial, then the isotopic fractionation between it and the carbon is in the right sense for a biological origin.</t>
  </si>
  <si>
    <t>CNRS, Ctr Biophys Mol, F-45071 Orleans 2, France; Open Univ, Planetary Sci Res Inst, Milton Keynes MK7 6AA, Bucks, England</t>
  </si>
  <si>
    <t>Centre National de la Recherche Scientifique (CNRS); Open University - UK</t>
  </si>
  <si>
    <t>Brack, A (corresponding author), CNRS, Ctr Biophys Mol, Rue Charles Sadron, F-45071 Orleans 2, France.</t>
  </si>
  <si>
    <t>brack@cnrs-orleans.fr</t>
  </si>
  <si>
    <t>SPRINGER TOKYO</t>
  </si>
  <si>
    <t>1-11-11 KUDAN-KITA, CHIYODA-KU, TOKYO, 102-0073, JAPAN</t>
  </si>
  <si>
    <t>1431-0651</t>
  </si>
  <si>
    <t>Extremophiles</t>
  </si>
  <si>
    <t>10.1007/s007920050074</t>
  </si>
  <si>
    <t>Biochemistry &amp; Molecular Biology; Microbiology</t>
  </si>
  <si>
    <t>114WZ</t>
  </si>
  <si>
    <t>WOS:000075633300023</t>
  </si>
  <si>
    <t>Slade, RW; Moritz, C; Hoelzel, AR; Burton, HR</t>
  </si>
  <si>
    <t>Molecular population genetics of the southern elephant seal Mirounga leonina</t>
  </si>
  <si>
    <t>GENETICS</t>
  </si>
  <si>
    <t>HUMAN MITOCHONDRIAL-DNA; CHINOOK SALMON POPULATIONS; MALE MATING SUCCESS; NUCLEOTIDE SUBSTITUTIONS; STATISTICAL TESTS; RESTRICTION DATA; EVOLUTION; SEQUENCES; POLYMORPHISM; PERSPECTIVES</t>
  </si>
  <si>
    <t>Southern elephant seals breed on sub-Antarctic islands and have a circumpolar distribution. We assayed mitochondrial DNA (mtDNA) and nuclear DNA (nDNA) variation in the three main populations in the south Atlantic, south Indian, and south Pacific oceans, and a smaller continental population in South America. Population structure of mtDNA was strong and not consistent with isolation by distance. The nDNA loci, although less informative, were consistent with the mtDNA results. Geographic structure appears to be dominated by historical processes, not contemporary gene flow. Uncorrected levels of nucleotide diversity for mtDNA control region I (2.86%) and nDNA (0.09%) were similar to those in humans and mice. Mutation rates for control region I (75 x 10(-9) substitutions per site per year) and nDNA (1.23 x 10(-9)) were similar to those in other mammals. Female effective population size and total effective population size were roughly equal at similar to 4 x 10(4), indicating a twofold greater rate of drift for mtDNA. Effective breeding sex ratio of four to five females per male was estimated from nucleotide diversity and mutation rates for mtDNA and nDNA, and was much less than behavioral observations would suggest. There was no evidence for selection at any of the assayed loci.</t>
  </si>
  <si>
    <t>Univ Queensland, Dept Zool, Brisbane, Qld 4072, Australia; Univ Queensland, Ctr Cellular &amp; Mol Biol, Brisbane, Qld 4072, Australia; Australian Antarctic Div, Kingston, Tas 7002, Australia; NCI, Frederick, MD 21702 USA</t>
  </si>
  <si>
    <t>University of Queensland; University of Queensland; Australian Antarctic Division; National Institutes of Health (NIH) - USA; NIH National Cancer Institute (NCI)</t>
  </si>
  <si>
    <t>Royal Brisbane Hosp, Queensland Inst Med Res, Brisbane, Qld 4029, Australia.</t>
  </si>
  <si>
    <t>roberts@qimr.edu.au</t>
  </si>
  <si>
    <t>Moritz, Craig/A-7755-2012</t>
  </si>
  <si>
    <t>Moritz, Craig/0000-0001-5313-7279</t>
  </si>
  <si>
    <t>GENETICS SOCIETY AMERICA</t>
  </si>
  <si>
    <t>9650 ROCKVILLE AVE, BETHESDA, MD 20814 USA</t>
  </si>
  <si>
    <t>0016-6731</t>
  </si>
  <si>
    <t>1943-2631</t>
  </si>
  <si>
    <t>Genetics</t>
  </si>
  <si>
    <t>Genetics &amp; Heredity</t>
  </si>
  <si>
    <t>107VR</t>
  </si>
  <si>
    <t>WOS:000075232100026</t>
  </si>
  <si>
    <t>Jeandel, C; Thouron, D; Fieux, M</t>
  </si>
  <si>
    <t>Concentrations and isotopic compositions of neodymium in the eastern Indian Ocean and Indonesian straits</t>
  </si>
  <si>
    <t>RARE-EARTH ELEMENTS; NORTH-ATLANTIC; ND; THROUGHFLOW; PACIFIC; WATER; SEAWATER; CIRCULATION; THERMOCLINE; SEDIMENTS</t>
  </si>
  <si>
    <t>Four profiles of Nd concentration and isotopic composition were determined at two stations in the eastern Indian Ocean along a north/south section between Ball and Port-Hedland and at two others in the Timer and Sumba straits. Neodymium concentrations increase with depth, between 7.2 pmol/L at the surface to 41.7 pmol/L close to the bottom. The epsilon(Nd) of the different water masses along the section are -7.2 +/- 0.2 for the Indian Bottom Waters and -6.1 +/- 0.2 for the Indian Deep Waters. The intermediate and thermocline waters are less radiogenic at st-10 than at st-20 (-5.3 +/- 0.3 and -3.6 +/- 0.2, respectively). In the Timer Passage and Sumba Strait, epsilon(Nd) of the Indonesian waters is -4.1 +/- 0.2 and that of the North Indian Intermediate Waters is -2.6 +/- 0.3. These distinct isotopic signals constrain the origins of the different water masses sampled in the eastern Indian Ocean. They fix the limit of the nonradiogenic Antarctic and Indian contributions to the southern part of the section whereas the northern part is influenced by radiogenic Indonesian flows. In addition, the neodymium isotopic composition suggests that in the north, deep waters are influenced by a radiogenic component originating from the Sunda Arch Slope flowing deeper than 1200 m, which was not documented previously. Mixing calculations assess the conservativity of epsilon(Nd) on the scale of an oceanic basin. The origin of the surprising radiogenic signal of the NIIW is discussed and could result from a remobilization of Nd sediment-hosted on the Java shelf, requiring important dissolved/particulate exchange processes. Such processes, occurring in specific areas, could play an important role in the world ocean Nd budget. Copyright (C) 1998 Elsevier Science Ltd.</t>
  </si>
  <si>
    <t>Observ Midi Pyrenees, LEGOS, CNES, CNRS,UPS, F-31400 Toulouse, France; Univ Paris 06, CNRS, ORSTOM, LODYC, F-75252 Paris 05, France</t>
  </si>
  <si>
    <t>Universite de Toulouse; Universite Toulouse III - Paul Sabatier; Centre National de la Recherche Scientifique (CNRS); Institut de Recherche pour le Developpement (IRD); Laboratoire d'Etudes en Geophysique et oceanographie spatiales; Institut de Recherche pour le Developpement (IRD); Centre National de la Recherche Scientifique (CNRS); Sorbonne Universite</t>
  </si>
  <si>
    <t>Jeandel, C (corresponding author), Observ Midi Pyrenees, LEGOS, CNES, CNRS,UPS, 14 Ave E Belin, F-31400 Toulouse, France.</t>
  </si>
  <si>
    <t>10.1016/S0016-7037(98)00169-0</t>
  </si>
  <si>
    <t>137EB</t>
  </si>
  <si>
    <t>WOS:000076900900002</t>
  </si>
  <si>
    <t>Luttinen, AV; Ramo, OT; Huhma, H</t>
  </si>
  <si>
    <t>Neodymium and strontium isotopic and trace element composition of a Mesozoic CFB suite from Dronning Maud Land, Antarctica: Implications for lithosphere and asthenosphere contributions to Karoo magmatism</t>
  </si>
  <si>
    <t>SOUTHWEST INDIAN RIDGE; MANTLE HETEROGENEITY BENEATH; CONTINENTAL FLOOD BASALTS; OCEANIC BASALTS; FRACTIONAL CRYSTALLIZATION; GEOCHEMICAL EVOLUTION; PERIDOTITE XENOLITHS; CRUSTAL EVOLUTION; KAAPVAAL CRATON; ENRICHED MANTLE</t>
  </si>
  <si>
    <t>Mesozoic Karoo-related lavas and dikes from north Vestfjella, Dronning Maud Land, comprise four magma types (CTI, CT2, CT3, and CT4) that occur intimately interspersed in a 300-m-thick lava succession and associated dike swarm. The CT1 lavas and dikes exhibit low initial epsilon(Nd) (-11.0 to -15.8) and high initial epsilon(Sr) (+36 to +52), belong to Gondwana low-Ti tholeiites and are grossly similar to the Southern Lebombo basalts of Karoo. They show strong geochemical affinity to continental lithosphere and were probably derived from Archean lithospheric mantle. The CTI tholeiites are characterized by higher epsilon(Nd) (-6.7 to +2.5) and lower epsilon(Sr) (-4 to +37), resemble the MORE-like Rooi Rand magma type of Karoo, and are distinct from typical CFBs. They were probably derived from an isotopically heterogeneous, mildly LILE-enriched source with MORE-affinity. The CT3 basalts have positive epsilon(Nd) (+1.5 and +1.9), relatively low epsilon(Sr) (+7 and +11), and a trace element signature approaching that of island are basalts. Their mantle source was depleted in terms of neodymium isotopic composition but high in LILE, possibly due to subduction-related enrichment in the Mesoproterozoic. The CT4 dolerites show OIB-like geochemistry, chondritic epsilon(Sr) (+1), and the highest epsilon(Nd) (+3.6) so far reported for Antarctic Mesozoic CFBs. Thus they represent the first Karoo-related rock type with unambiguous plume-affinity. In the epsilon(Nd) vs. epsilon(Sr) space, the Vestfjella CFBs span a wide range from the oceanic mantle array towards a composition between EMI and EM2. Overall, their trace element and isotopic variation reflects billion-year-scale evolution of the upper mantle at an Archean-Proterozoic lithospheric boundary. Copyright (C) 1998 Elsevier Science Ltd.</t>
  </si>
  <si>
    <t>Univ Helsinki, Dept Geol, FIN-00014 Helsinki, Finland; Geol Survey Finland, FIN-02151 Espoo, Finland</t>
  </si>
  <si>
    <t>University of Helsinki; Geological Survey of Finland (GTK)</t>
  </si>
  <si>
    <t>Univ Helsinki, Dept Geol, FIN-00014 Helsinki, Finland.</t>
  </si>
  <si>
    <t>arluttin@touko.helsinki.fi</t>
  </si>
  <si>
    <t>Luttinen, Arto Vesa/0000-0002-3129-0392</t>
  </si>
  <si>
    <t>1872-9533</t>
  </si>
  <si>
    <t>10.1016/S0016-7037(98)00184-7</t>
  </si>
  <si>
    <t>WOS:000076900900009</t>
  </si>
  <si>
    <t>Rapela, CW; Pankhurst, RJ; Casquet, C; Baldo, E; Saavedra, J; Galindo, C</t>
  </si>
  <si>
    <t>Early evolution of the Proto-Andean margin of South America</t>
  </si>
  <si>
    <t>PRECORDILLERA</t>
  </si>
  <si>
    <t>From a detailed study of a 500 km transect in the Sierras Pampeanas, central-west Argentina, two pre-Silurian tectono-magmatic episodes are recognized and defined, each culminating in micro-continental collisions against the proto-Andean margin of Gondwana. The Pampean orogeny started in Early Cambrian time with short-lived subduction, indicated by ca 535 Ma calc-alkaline granitoids. Following Pampean terrane collision, burial to granulite facies conditions (ca, 9 kbar) generated widespread migmatites and ca 520 Ma highly peraluminous granites in the Eastern Sierras Pampeanas, After brief quiescence, a second major episode, the Famatinian orogeny, started with subduction ca, 490 Ma, forming a wide continental are and ensialic backarc basin, This heralded the approach of Laurentia to Gondwana, during which the Precordillera terrane separated from the southern Appalachian region, finally colliding with Gondwana in Silurian-Devonian time.</t>
  </si>
  <si>
    <t>Univ Nacl La Plata, Ctr Invest Geol, RA-1900 La Plata, Buenos Aires, Argentina; British Antarctic Survey, Cambridge CB3 0ET, England; Univ Complutense Madrid, Dept Petrol &amp; Geoquim, E-28040 Madrid, Spain; CSIC, Inst Recursos Nat &amp; Agrobiol, Salamanca 37071, Spain</t>
  </si>
  <si>
    <t>National University of La Plata; UK Research &amp; Innovation (UKRI); Natural Environment Research Council (NERC); NERC British Antarctic Survey; Complutense University of Madrid; Consejo Superior de Investigaciones Cientificas (CSIC); CSIC - Instituto de Recursos Naturales y Agrobiologia de Sevilla (IRNAS)</t>
  </si>
  <si>
    <t>Univ Nacl La Plata, Ctr Invest Geol, Calle 1 No 644, RA-1900 La Plata, Buenos Aires, Argentina.</t>
  </si>
  <si>
    <t>Casquet, Cesar/AAV-1508-2020</t>
  </si>
  <si>
    <t>GEOLOGICAL SOC AMER, INC</t>
  </si>
  <si>
    <t>PO BOX 9140, BOULDER, CO 80301-9140 USA</t>
  </si>
  <si>
    <t>1943-2682</t>
  </si>
  <si>
    <t>10.1130/0091-7613(1998)026&lt;0707:EEOTPA&gt;2.3.CO;2</t>
  </si>
  <si>
    <t>109JE</t>
  </si>
  <si>
    <t>WOS:000075317700009</t>
  </si>
  <si>
    <t>Fukazawa, H; Sugiyama, K; Mae, SJ; Narita, H; Hondoh, T</t>
  </si>
  <si>
    <t>Acid ions at triple junction of Antarctic ice observed by Raman scattering</t>
  </si>
  <si>
    <t>DIELECTRIC-PROPERTIES</t>
  </si>
  <si>
    <t>We measured the Raman spectra of the junctions where three crystal grains met (triple-junctions) in polycrystalline ice from two Antarctic sites (Nansen ice and South Yamato ice) in order to obtain direct evidence that sulfuric and nitric acids are present as liquid at the triple-junctions. We found that Raman spectra of Nansen ice have a peak (1050 cm(-1)) of HSO4- and NO3- in sulfuric and nitric acid solutions when the measured temperatures of the ice are -8 similar to-35 degrees C. Thus, sulfuric and nitric acids dissociate to HSO4- and NO3- at the triple-junctions of Nansen ice. Raman spectra of South Yamato ice have a peak (980 cm(-1))of SO42- in sulfuric acid solution when the measured temperatures of the ice are -8 similar to-20 degrees C. Thus, sulfuric acid dissociates to SO42- at the triple-junctions of South Yamato ice. The results showed that aqueous solutions of the acids exist at Antarctic ice-sheet temperatures.</t>
  </si>
  <si>
    <t>Hokkaido Univ, Fac Engn, Dept Appl Phys, Sapporo, Hokkaido 060, Japan; Hokkaido Univ, Inst Low Temp Sci, Sapporo, Hokkaido 060, Japan</t>
  </si>
  <si>
    <t>Hokkaido University; Hokkaido University</t>
  </si>
  <si>
    <t>HONDOH, Takeo/E-7551-2011</t>
  </si>
  <si>
    <t>HONDOH, Takeo/0000-0003-4129-022X</t>
  </si>
  <si>
    <t>AUG 1</t>
  </si>
  <si>
    <t>10.1029/98GL02178</t>
  </si>
  <si>
    <t>108WZ</t>
  </si>
  <si>
    <t>WOS:000075289900022</t>
  </si>
  <si>
    <t>Horne, RB; Thorne, RM</t>
  </si>
  <si>
    <t>Potential waves for relativistic electron scattering and stochastic acceleration during magnetic storms</t>
  </si>
  <si>
    <t>GEOSTATIONARY ORBIT; RADIATION</t>
  </si>
  <si>
    <t>The possibility of electron stochastic energization to relativisitic energies (greater than or equal to 1 MeV) via resonant wave-particle interactions during a magnetic storm is explored. The minimum electron energy E-min for cyclotron resonant interaction with various electromagnetic waves is calculated for conditions representative of storm-times. Since E-min &gt; 1 MeV for resonance with L-mode ion cyclotron waves, intense stormtime EMIC waves could contribute to relativistic electron loss, but not acceleration. Inside the plasmapause whistler mode waves, and highly oblique magnetosonic waves near the lower hybrid frequency, can resonate with electrons over the important energy range from similar to 100 keV to similar to 1 MeV. In low density regions outside the plasmapause, the whistler, RX, LO and Z modes can resonate with electrons over a similar energy range. These waves have the potential to contribute to the stochastic acceleration of electrons up to relativistic energies during magnetic storms.</t>
  </si>
  <si>
    <t>British Antarctic Survey, NERC, Cambridge CB3 0ET, England; Univ Calif Los Angeles, Dept Atmospher Sci, Los Angeles, CA 90095 USA</t>
  </si>
  <si>
    <t>UK Research &amp; Innovation (UKRI); Natural Environment Research Council (NERC); NERC British Antarctic Survey; University of California System; University of California Los Angeles</t>
  </si>
  <si>
    <t>Horne, RB (corresponding author), British Antarctic Survey, NERC, Madingley Rd, Cambridge CB3 0ET, England.</t>
  </si>
  <si>
    <t>Horne, Richard B/U-3764-2019</t>
  </si>
  <si>
    <t>Horne, Richard B/0000-0002-0412-6407</t>
  </si>
  <si>
    <t>10.1029/98GL01002</t>
  </si>
  <si>
    <t>WOS:000075289900064</t>
  </si>
  <si>
    <t>Sawhney, RC; Malhotra, AS; Prasad, R; Pal, K; Kumar, R; Bajaj, AC</t>
  </si>
  <si>
    <t>Pituitary-gonadal hormones during prolonged residency in Antarctica</t>
  </si>
  <si>
    <t>INTERNATIONAL JOURNAL OF BIOMETEOROLOGY</t>
  </si>
  <si>
    <t>Antarctica; cold; testosterone; gonadotropin; prolactin</t>
  </si>
  <si>
    <t>TESTOSTERONE; COLD; PROLACTIN; STAY; MEN</t>
  </si>
  <si>
    <t>Plasma luteinizing hormone (LH), follicle stimulating hormone (FSH), prolactin (PRL) and testosterone levels were measured in nine eugonadal men in New Delhi and during the Ist week of different months of their stay at Dakshin Gangotri in Antarctica. During their 12-month stay in Antarctica, they were exposed to a severely cold climate, long polar nights and polar days, high wind velocity, increased amounts of solar and ultraviolet radiation and geomagnetism, as well as physical and social isolation. Plasma testosterone tended to increase in March, but a significant increase (P&lt;0.05) was not seen until April. The mean testosterone levels in May, June, September and November were also significantly higher than the March or New Delhi values. The absolute values of LH, FSH and PRL did not show any month-to-month changes in Antarctica. However, when the hormone levels were expressed as a percentage of the individual annual Antarctic mean, significant differences as a percentage of the individual annual Antarctic mean, significant differences were observed. The testosterone peak in April, May and June was associated with an increase in LH. The nadirs of testosterone, LH, FSH and PRL were seen in either July or August. FSH showed the highest values in March, whereas the highest PRL values were seen in November. These observations suggest the presence of circannual variations in gonadotropin, PRL and LH in Antarctica which are independent of polar days and polar nights. It appears that factors other than the duration of daylight might be involved in regulating these changes. The significance of maintenance of testosterone levels in the supra-physiological range in Antarctica remains unknown but may be important in acclimatization/habituation to the extreme polar cold by increasing basal metabolic rate, protein synthesis and erythropoiesis.</t>
  </si>
  <si>
    <t>Def Inst Physiol &amp; Appl Sci, Dept Endocrinol &amp; Metab, Delhi 110054, India</t>
  </si>
  <si>
    <t>Defence Research &amp; Development Organisation (DRDO); Defence Institute of Physiology &amp; Allied Sciences (DIPAS)</t>
  </si>
  <si>
    <t>Sawhney, RC (corresponding author), Def Inst Physiol &amp; Appl Sci, Dept Endocrinol &amp; Metab, Lucknow Rd, Delhi 110054, India.</t>
  </si>
  <si>
    <t>0020-7128</t>
  </si>
  <si>
    <t>INT J BIOMETEOROL</t>
  </si>
  <si>
    <t>Int. J. Biometeorol.</t>
  </si>
  <si>
    <t>10.1007/s004840050083</t>
  </si>
  <si>
    <t>Biophysics; Environmental Sciences; Meteorology &amp; Atmospheric Sciences; Physiology</t>
  </si>
  <si>
    <t>Biophysics; Environmental Sciences &amp; Ecology; Meteorology &amp; Atmospheric Sciences; Physiology</t>
  </si>
  <si>
    <t>123MB</t>
  </si>
  <si>
    <t>WOS:000076128000009</t>
  </si>
  <si>
    <t>Blagoveshchenskaya, NF; Chernyshev, MY; Kornienko, VA</t>
  </si>
  <si>
    <t>Excitation of small-scale waves in the F region of the ionosphere by powerful HF radio waves</t>
  </si>
  <si>
    <t>JOURNAL OF ATMOSPHERIC AND SOLAR-TERRESTRIAL PHYSICS</t>
  </si>
  <si>
    <t>BACKSCATTER; IRREGULARITIES; TURBULENCE; TROMSO</t>
  </si>
  <si>
    <t>Ionospheric small-scale waves in the F region, initiated by heating facilities in Nizhniy Novgorod, have been studied by the method of field-aligned scattering of diagnostic HF radio signals. Experimental data have been obtained on the radio path Kiev-N. Novgorod-St. Petersburg during heating campaigns with heater radiated power ERP = 20 MW and 100 MW. Observations of scattered HF signals have been made by a Doppler spectrum device with high temporal resolution. Analysis of the experimental data shows a relation between the heater power level and the parameters of ionospheric small-scale oscillations falling within the range of Pc 3-4 magnetic pulsations. It is found that the periods of wave processes in the F region of the ionosphere, induced by the heating facility, decrease with increasing heating power. The level of heating power also has an impact on the horizontal east-west component of the electric field E, the vertical component of the Doppler velocity V-d and the amplitude of the vertical displacements M of the heated region. Typical magnitudes of these parameters are the following: E = 1.25 mV/m, V-d = 6 m/s, M = 600-1500 m for ERP = 20 MW and E = 2.5-4.5 mV/m, V-d = 11-25 m/s, M = 1000-5000 m for ERP = 100 MW. The results obtained confirm the hypothesis of excitation of the Alfven resonator by powerful HF radio waves which leads to the generation of magnetic field oscillations in the heated region-giving rise to artificial Pc 3-4 magnetic pulsations and ionospheric small-scale wave processes. In this situation an increase of the heater power would lead to a growth of the electric field of hydromagnetic waves propagating in the ionosphere as well as the amplitude of the vertical displacements of the heated region. (C) 1998 Elsevier Science Ltd. All rights reserved.</t>
  </si>
  <si>
    <t>Arctic &amp; Antarctic Res Inst, Dept Geophys, St Petersburg 199397, Russia</t>
  </si>
  <si>
    <t>Blagoveshchenskaya, NF (corresponding author), Arctic &amp; Antarctic Res Inst, Dept Geophys, 38 Bering Str, St Petersburg 199397, Russia.</t>
  </si>
  <si>
    <t>Blagoveshchenskaya, Nataly/AAE-4093-2022; Blagoveshchenskaya, Nataly F./S-4342-2017</t>
  </si>
  <si>
    <t>Blagoveshchenskaya, Nataly/0000-0003-1752-3273; Blagoveshchenskaya, Nataly F./0000-0003-1752-3273</t>
  </si>
  <si>
    <t>1364-6826</t>
  </si>
  <si>
    <t>J ATMOS SOL-TERR PHY</t>
  </si>
  <si>
    <t>J. Atmos. Sol.-Terr. Phys.</t>
  </si>
  <si>
    <t>10.1016/S1364-6826(98)00050-9</t>
  </si>
  <si>
    <t>Geochemistry &amp; Geophysics; Meteorology &amp; Atmospheric Sciences</t>
  </si>
  <si>
    <t>141AT</t>
  </si>
  <si>
    <t>WOS:000077121000005</t>
  </si>
  <si>
    <t>Farrugia, CJ; Scudder, JD; Freeman, MP; Janoo, L; Lu, G; Quinn, JM; Arnoldy, RL; Torbert, RB; Burlaga, LF; Ogilvie, KW; Lepping, RP; Lazarus, AJ; Steinberg, JT; Gratton, FT; Rostoker, G</t>
  </si>
  <si>
    <t>Geoeffectiveness of three wind magnetic clouds: A comparative study</t>
  </si>
  <si>
    <t>CORONAL MASS EJECTIONS; GEOMAGNETIC STORMS; IONOSPHERIC CONVECTION; EARTH PASSAGE; Y-COMPONENT; FIELD; MAGNETOSPHERE; MAGNETOPAUSE; SHOCK; DST</t>
  </si>
  <si>
    <t>We compare the large-scale goemagnetic response to the three magnetic clouds observed by Wind in October 1995 (OCT95), May 1996 (MAY96), and January 1997 (JAN97), studying specifically storm and substorm activity, and other global effects due to untypically large and variable solar wind dynamic pressures. Since the temporal profiles of the interplanetary parameters of the three clouds resemble one another closely, the comparison is meaningful. Using the integrated Poynting flux into the magnetosphere as a rough measure of energy input into the magnetosphere, we find relative energy inputs to be OCT95:JAN97:MAY96 = 22:11:4, with most of the accumulation in the 3-day periods occurring during passage of the B-z &lt; 0 cloud phase. The peak Dst ring current indices, corrected for magnetopause currents, were in the ratio -138:-87:-38, and hence OCT95 caused a major, JAN97 a moderate, and MAY96 a weak storm. The empirical criterion derived from studies near solar maximum that a solar wind dawn-dusk electric field greater than or equal to 5 m V m(-1) lasting for at least 3 hours is necessary and sufficient to generate major storms does not hold for JAN97. Storm main phase onset coincides with cloud arrival in all three cases. The number of substorm onsets during the cloud periods were OCT95:JAN97:MAY96 = 5:3:2, with peak AL values in the ratio -1180:-1750:570. The dayside magnetosphere was variably compressed, the largest amplitude of variation being on JAN97, where the dynamic pressure change spanned 2 orders of magnitude. MAY96 showed the least variation. The interaction of the individual clouds with the faster trailing flows had two major effects on the magnetosphere: (1) a compression of the cavity during passage of the B-z &gt; 0 cloud phase and the leading edge of the fast stream; and (2) a weakening of the control of the cloud field on magnetosheath flow during the B-z &gt; 0 cloud phase. In summary we find that under most of the aspects considered, OCT95 is the most geoeffective. The buffetting of the magnetospheric cavity by dynamic pressure changes was, however, strongest on JAN97. The profound differences in the magnetospheric response elicited by the clouds is found to be due to the amplitude, duration and rapidity of change of the relevant interplanetary parameters. At present, interplanetary monitors are indispensable for understanding the geomagnetic response to interplanetary structures.</t>
  </si>
  <si>
    <t>Univ New Hampshire, Inst Study Earth Oceans &amp; Space, Durham, NH 03820 USA; Univ Iowa, Dept Phys &amp; Astron, Iowa City, IA 52240 USA; British Antarctic Survey, Cambridge CB3 0ET, England; Natl Ctr Atmospher Res, High Altitude Observ, Boulder, CO 80307 USA; NASA, Goddard Space Flight Ctr, Greenbelt, MD 20771 USA; MIT, Cambridge, MA 02139 USA; Univ Buenos Aires, Inst Fis Plasma, RA-1428 Buenos Aires, DF, Argentina</t>
  </si>
  <si>
    <t>University System Of New Hampshire; University of New Hampshire; University of Iowa; UK Research &amp; Innovation (UKRI); Natural Environment Research Council (NERC); NERC British Antarctic Survey; National Center Atmospheric Research (NCAR) - USA; National Aeronautics &amp; Space Administration (NASA); NASA Goddard Space Flight Center; Massachusetts Institute of Technology (MIT); University of Buenos Aires</t>
  </si>
  <si>
    <t>Univ New Hampshire, Inst Study Earth Oceans &amp; Space, Morse Hall, Durham, NH 03820 USA.</t>
  </si>
  <si>
    <t>farrugia@monet.sr.unh.edu</t>
  </si>
  <si>
    <t>Lu, Gang/A-6669-2011; Scudder, Jack D./D-8417-2013; Steinberg, John/HMP-7117-2023; Freeman, Mervyn/E-5687-2019</t>
  </si>
  <si>
    <t>Freeman, Mervyn/0000-0002-8653-8279</t>
  </si>
  <si>
    <t>A8</t>
  </si>
  <si>
    <t>10.1029/98JA00886</t>
  </si>
  <si>
    <t>107BV</t>
  </si>
  <si>
    <t>WOS:000075186700006</t>
  </si>
  <si>
    <t>Lui, ATY; Williams, DJ; McEntire, RW; Ohtani, S; Zanetti, LJ; Bristow, WA; Greenwald, RA; Newell, PT; Christon, SP; Mukai, T; Tsuruda, K; Yamamoto, T; Kokubun, S; Matsumoto, H; Kojima, H; Murata, T; Fairfield, DH; Lepping, RP; Samson, JC; Rostoker, G; Reeves, GD; Rodger, AL; Singer, HJ</t>
  </si>
  <si>
    <t>Multipoint study of a substorm on February 9, 1995</t>
  </si>
  <si>
    <t>PLASMA SHEET; MAGNETOSPHERE; FLOWS; WIND</t>
  </si>
  <si>
    <t>An extended interval of strong northward interplanetary magnetic field (IMF) was observed by the Wind spacecraft located at an upstream distance of similar to 193 R-E from February 8-10, 1995, with a brief break of southward IMF from 0200 to 0400 UT on February 9. This brief interval of southward IMF led to an isolated substorm of moderate intensity (similar to 500 nT) with expansion phase starting at similar to 0431 UT. This substorm may be triggered by the northward turning of the IMF since its onset time matched well with the time expected for the arrival of the northward turning of the IMF at Earth. The substorm activities were monitored by 11 spacecraft in space (Wind, IMP 8, Geotail, six geosynchronous satellites, one DMSP satellite, and Freja) and two networks of ground stations (Canopus and SuperDARN) covering both the northern and southern hemispheres. The extensive coverage of this event provides us with results (1) showing some unusual characteristics possibly related to the isolated nature of the substorm and (2) revealing some surprising features difficult to reconcile with the traditional substorm model. In the first category is unusually long duration of the growth phase and the long time delay between substorm expansion onset and particle injection onset at the geosynchronous orbit. In the second category is new evidence for multiple particle acceleration sites during substorm expansion and for sunward flow during the late expansion phase of a substorm being unrelated to a single acceleration site (X line) moving from the near-Earth tail to the more distant tail. We also present observations which show the possible optical signature on the ground of bursty bulk flows in the magnetotail.</t>
  </si>
  <si>
    <t>Johns Hopkins Univ, Appl Phys Lab, Laurel, MD 20723 USA; Univ Maryland, Dept Phys &amp; Astron, College Pk, MD 20742 USA; NASA, Goddard Space Flight Ctr, Greenbelt, MD 20771 USA; Inst Space &amp; Astronaut Sci, Kanagawa 229, Japan; Nagoya Univ, Solar Terr Environm Lab, Aichi 442, Japan; Kyoto Univ, Radio Atmospher Sci Ctr, Kyoto, Japan; Univ Alberta, Dept Phys, Edmonton, AB T6G 2M7, Canada; Los Alamos Natl Lab, Los Alamos, NM USA; British Antarctic Survey, Cambridge CB3 0ET, England; NOAA, Space Environm Ctr, Boulder, CO 80303 USA</t>
  </si>
  <si>
    <t>Johns Hopkins University; Johns Hopkins University Applied Physics Laboratory; University System of Maryland; University of Maryland College Park; National Aeronautics &amp; Space Administration (NASA); NASA Goddard Space Flight Center; Japan Aerospace Exploration Agency (JAXA); Institute of Space &amp; Astronautical Science (ISAS); Nagoya University; Kyoto University; University of Alberta; United States Department of Energy (DOE); Los Alamos National Laboratory; UK Research &amp; Innovation (UKRI); Natural Environment Research Council (NERC); NERC British Antarctic Survey; National Oceanic Atmospheric Admin (NOAA) - USA</t>
  </si>
  <si>
    <t>Johns Hopkins Univ, Appl Phys Lab, Johns Hopkins Rd, Laurel, MD 20723 USA.</t>
  </si>
  <si>
    <t>Reeves, Geoffrey/E-8101-2011; Kojima, Hirotsugu/O-2087-2018; Ohtani, Shinichi/E-3914-2016; Lui, Anthony T Y/G-5051-2019; Williams, David/HKN-3732-2023; Zanetti, Lawrence J/H-4609-2016</t>
  </si>
  <si>
    <t>Reeves, Geoffrey/0000-0002-7985-8098; Ohtani, Shinichi/0000-0002-9565-6840;</t>
  </si>
  <si>
    <t>10.1029/97JA02632</t>
  </si>
  <si>
    <t>WOS:000075186700011</t>
  </si>
  <si>
    <t>Nagashima, K; Fujimoto, K; Jacklyn, RM</t>
  </si>
  <si>
    <t>Galactic and heliotail-in anisotropies of cosmic rays as the origin of sidereal daily variation in the energy region &lt;104 GeV</t>
  </si>
  <si>
    <t>MODULATION; HELIOMAGNETOSPHERE; HYDROGEN</t>
  </si>
  <si>
    <t>It is shown that the cosmic ray sidereal daily variation in the energy region</t>
  </si>
  <si>
    <t>Nagoya Univ, Solar Terr Environm Lab, Cosm Ray Sect, Nagoya, Aichi 46101, Japan; Australian Antarctic Div, Dept Sci &amp; Technol, Kingston, Tas 7150, Australia</t>
  </si>
  <si>
    <t>Nagoya University; Australian Antarctic Division</t>
  </si>
  <si>
    <t>Nagashima, K (corresponding author), Nagoya Univ, Solar Terr Environm Lab, Cosm Ray Sect, Nagoya, Aichi 46101, Japan.</t>
  </si>
  <si>
    <t>10.1029/98JA01105</t>
  </si>
  <si>
    <t>WOS:000075186700018</t>
  </si>
  <si>
    <t>Watanabe, M; Pinnock, M; Rodger, AS; Sato, N; Yamagishi, H; Yukimatu, AS; Greenwald, RA; Villain, JP; Hairston, MR</t>
  </si>
  <si>
    <t>Localized activation of the distant tail neutral line just prior to substorm onsets</t>
  </si>
  <si>
    <t>MAGNETIC-FIELD; MAGNETOSPHERIC SUBSTORMS; HF-RADAR; RECONNECTION; MAGNETOTAIL; BOUNDARY; BACKSCATTER; SIGNATURES; CONVECTION; EMISSION</t>
  </si>
  <si>
    <t>We have found flow burst features in the nightside ionosphere that are thought to be the ionospheric signature of distant tail reconnection. These are observed to form just prior to substorm onsets. Simultaneous observations by the Goose Bay-Stokkseyri dual HF radars and DMSP satellites provide the data. Our conclusions are based on equatorward flow bursts on the nightside during two isolated substorms that followed a long period of magnetospheric inactivity associated with a northward interplanetary magnetic field. Both flow bursts start similar to 60 min after the growth phase onset and last similar to 10-20 min until the expansion phase onset, migrating equatorward with time. Simultaneous DMSP observations of precipitating particles show that the flow burst occurs at the polar cap boundary, suggesting that the equatorward migration corresponds to the expansion of the polar cap during the growth phase. For one event, the reconnection electric field at 400 km altitude was 14 mV/m and its longitudinal scale was 290 km, which is equivalent to a reconnection voltage of 4.1 kV. For the other event, these values were 11 mV/m (reconnection electric field), 380 km (longitudinal scale), and 4.0 kV (reconnection voltage). In addition to the reconnection signatures, we discuss implications for substorm dynamics during the final stage of the substorm growth phase. The morphology indicates that the distant tail neutral line is activated similar to 1 hour after the growth phase onset and at the same time the nightside separatrix starts to move equatorward much faster than during the preceding early and middle growth phases. The 1-hour time lag would correspond to the timescale on which slow rarefaction waves from both northern and southern tail lobes converge in the equatorial magnetotail. The fast-moving separatrix on the nightside implies a rapid change of magnetotail configuration resulting from nonlinear enhancement and/or earthward movement of the cross-tail current for the last 10-20 min prior to the expansion phase onset.</t>
  </si>
  <si>
    <t>Natl Inst Polar Res, Itabashi Ku, Tokyo 173, Japan; British Antarctic Survey, NERC, Cambridge CB3 0ET, England; Johns Hopkins Univ, Appl Phys Lab, Laurel, MD 20723 USA; CNRS, Lab Phys &amp; Chim Environm, F-45071 Orleans, France; Univ Texas, William B Hanson Ctr Space Sci, Richardson, TX 75083 USA</t>
  </si>
  <si>
    <t>Research Organization of Information &amp; Systems (ROIS); National Institute of Polar Research (NIPR) - Japan; UK Research &amp; Innovation (UKRI); Natural Environment Research Council (NERC); NERC British Antarctic Survey; Johns Hopkins University; Johns Hopkins University Applied Physics Laboratory; Centre National de la Recherche Scientifique (CNRS); University of Texas System; University of Texas Dallas</t>
  </si>
  <si>
    <t>Watanabe, M (corresponding author), Natl Inst Polar Res, Itabashi Ku, 1-9-10 Kaga, Tokyo 173, Japan.</t>
  </si>
  <si>
    <t>maskaz@hp9000.nipr.ac.jp; mpi@pcmail.nerc-bas.ac.uk; asro@pcmail.nerc-bas.ac.uk; nsato@nipr.ac.jp; yamagisi@nipr.ac.jp; sessai@nipr.ac.jp; ray_greenwald@jhuapl.edu; jvillain@cnrs-orleans.fr; hairston@utdallas.edu</t>
  </si>
  <si>
    <t>10.1029/98JA01037</t>
  </si>
  <si>
    <t>WOS:000075186700036</t>
  </si>
  <si>
    <t>Small, DJ; Vayda, ME; Sidell, BD</t>
  </si>
  <si>
    <t>A novel vertebrate myoglobin gene containing three A+T-rich introns is conserved among Antarctic teleost species which differ in myoglobin expression</t>
  </si>
  <si>
    <t>JOURNAL OF MOLECULAR EVOLUTION</t>
  </si>
  <si>
    <t>myoglobin; Antarctic icefish; fish intron; promoter elements</t>
  </si>
  <si>
    <t>MUSCLE-SPECIFIC EXPRESSION; HEAVY-CHAIN GENE; BETA-GLOBIN GENE; CHANNICHTHYS-RHINOCERATUS; NUCLEOTIDE-SEQUENCE; BINDING-FACTOR; ACTIN GENE; TRANSCRIPTION; EVOLUTION; PROMOTER</t>
  </si>
  <si>
    <t>This report presents the first teleost myoglobin (Mb) genomic DNA sequence, several features of which are distinct from mammalian Mb genes. We have isolated and compared genomic clones of three closely related Antarctic iceflsh: Chionodraco rastrospinosus, which expresses Mb mRNA and functional polypeptide; Champsocephalus gunnari, which transcribes the Mb gene but does not produce polypeptide due to a 5-base pair (bp) frameshift insertion; and Chaenocephalus aceratus, which lacks both Mb protein and mRNA. The single-copy icefish Mb gene contains three introns: two at positions identical to those found in mammalian Mb and a novel intron located in the 5' untranslated region three nucleotides upstream from the initiator codon. All three introns are shorter than those found in mammalian Mb genes and exhibit a considerably higher A + T content. The entire Mb transcriptional unit is intact in C. aceratus, indicating that the failure to express this gene is not due to aberrations in the coding region, splice junctions, polyadenylation signals, or core promoter elements. The three icefish Mb sequences display an extreme degree of identity in the transcriptional unit and putative promoter region. In contrast, sequences 65 bp downstream from the polyadenylation site bear no homology among the three species, demonstrating that rapid sequence change has occurred in the I million years since the divergence of these species.</t>
  </si>
  <si>
    <t>Univ Maine, Dept Biochem Microbiol &amp; Mol Biol, Orono, ME 04469 USA; Univ Maine, Sch Marine Sci, Orono, ME 04469 USA</t>
  </si>
  <si>
    <t>University of Maine System; University of Maine Orono; University of Maine System; University of Maine Orono</t>
  </si>
  <si>
    <t>Vayda, ME (corresponding author), Univ Maine, Dept Biochem Microbiol &amp; Mol Biol, Orono, ME 04469 USA.</t>
  </si>
  <si>
    <t>vayda@maine.maine.edu</t>
  </si>
  <si>
    <t>0022-2844</t>
  </si>
  <si>
    <t>J MOL EVOL</t>
  </si>
  <si>
    <t>J. Mol. Evol.</t>
  </si>
  <si>
    <t>10.1007/PL00006372</t>
  </si>
  <si>
    <t>Biochemistry &amp; Molecular Biology; Evolutionary Biology; Genetics &amp; Heredity</t>
  </si>
  <si>
    <t>106YE</t>
  </si>
  <si>
    <t>WOS:000075178400007</t>
  </si>
  <si>
    <t>Fritsen, CH; Priscu, JC</t>
  </si>
  <si>
    <t>Cyanobacterial assemblages in permanent ice covers on Antarctic lakes: Distribution growth rate, and temperature response of photosynthesis</t>
  </si>
  <si>
    <t>Antarctica; cyanobacteria; extreme environments; ice; lakes; photosynthesis</t>
  </si>
  <si>
    <t>IRRADIANCE RELATIONSHIPS; PHYTOPLANKTON; LIGHT; DESICCATION; ALGAE; HOARE; SEA</t>
  </si>
  <si>
    <t>The proliferation of microalgae in the McMurdo Dry Valleys of Antarctica is intricately linked to the seasonal cycle involving the freezing and melting of water. Anecdotal observations and preliminary sampling have found cyanobacterial cells in ice covers on lakes in the McMurdo Dry Valleys, and several of these ice covers are known to undergo seasonal freeze-thaw cycles. Therefore, we sought to determine the distribution and abundance of cyanobacterial assemblages in several permanent ice covers throughout the McMurdo Dry Valleys and to determine their rates of growth and their photosynthetic physiologies upon encountering liquid water. We found that the majority of the permanent ice covers contained cyanobacterial assemblages in close association with sedimentary material. Cyanobacterial biomass was conspicuously absent in sediment-free ice covers, suggesting that the seasonal interaction between the sediments, ice, and solar radiation present the necessary liquid water environment for cyanobacterial growth. All assemblages exhibited extremely low rates of photosynthesis when first exposed to liquid water. Despite the low rates of photosynthesis, a large proportion (41 %) of the photosynthate was incorporated into protein, indicating that the cells were undergoing efficient net cellular growth. The short-term response (24 h) of photosynthesis to a range of temperatures showed optimum rates occurring at temperatures &gt;15 degrees C, which is similar to those of psychrotrophic cyanobacteria isolates from soil and stream habitats, which we believe provides the inoculum for the in- ice habitats.</t>
  </si>
  <si>
    <t>Univ Nevada, Desert Res Inst, Ctr Biol Sci, Reno, NV 89506 USA.</t>
  </si>
  <si>
    <t>ubifc@gemini.oscs.montana.edu</t>
  </si>
  <si>
    <t>10.1046/j.1529-8817.1998.340587.x</t>
  </si>
  <si>
    <t>116FB</t>
  </si>
  <si>
    <t>WOS:000075712400004</t>
  </si>
  <si>
    <t>Dahm, C; Brey, T</t>
  </si>
  <si>
    <t>Determination of growth and age of slow growing brittle stars (Echinodermata: Ophiuroidea) from natural growth bands</t>
  </si>
  <si>
    <t>JOURNAL OF THE MARINE BIOLOGICAL ASSOCIATION OF THE UNITED KINGDOM</t>
  </si>
  <si>
    <t>SAN-NICOLAS-ISLAND; SEA-URCHIN; STRONGYLOCENTROTUS-FRANCISCANUS; MORTALITY; MACROBENTHOS; CALIFORNIA; SKELETON; DISEASES; MARKERS</t>
  </si>
  <si>
    <t>Growth in ophiuroids is highly variable, and with increasing size and age of an ophiuroid specimen more and more of the innermost growth rings on the vertebral ossicles become overgrown and hence invisible. Two approaches to estimate individual age of slow growing brittle stars using the high Antarctic species Ophionotus victoriae are compared. One method interprets natural growth ring readings as size-increment data, whereas the second method compensates for growth ring overgrowth by means of an iterative corrective approach. Preconditions as well as advantages and disadvantages of both methods are discussed.</t>
  </si>
  <si>
    <t>Dahm, C (corresponding author), Alfred Wegener Inst Polar &amp; Marine Res, PO 120161, D-27515 Bremerhaven, Germany.</t>
  </si>
  <si>
    <t>cdahm@awi-bremerhaven.de</t>
  </si>
  <si>
    <t>0025-3154</t>
  </si>
  <si>
    <t>1469-7769</t>
  </si>
  <si>
    <t>J MAR BIOL ASSOC UK</t>
  </si>
  <si>
    <t>J. Mar. Biol. Assoc. U.K.</t>
  </si>
  <si>
    <t>10.1017/S0025315400044891</t>
  </si>
  <si>
    <t>116EH</t>
  </si>
  <si>
    <t>WOS:000075710300019</t>
  </si>
  <si>
    <t>Weidinger, K; van Franeker, JA</t>
  </si>
  <si>
    <t>Applicability of external measurements to sexing of the Cape petrel Daption capense at within-pair, within-population and between-population scales</t>
  </si>
  <si>
    <t>JOURNAL OF ZOOLOGY</t>
  </si>
  <si>
    <t>Daption capense; discriminant function analysis; geographical variability; petrels; sexual size dimorphism</t>
  </si>
  <si>
    <t>SEXUAL SIZE DIMORPHISM; DISCRIMINANT-ANALYSIS; GULLS; ANTARCTICA; SEABIRDS; BIRDS</t>
  </si>
  <si>
    <t>Sexual size dimorphism in the Cape pet;el Daption capense was analysed to improve methods for sexing live birds in field studies. Samples originated from two geographically distant study populations in the Antarctic: Nelson Island, South Shetland Islands (sample N: 83 M, 89 F), and Ardery and O' Connor Islands, Windmill Islands (sample A: 36 M, 27 F). Using single characters with cut points calculated from sexed individuals, about 59-76% (N; best separator tarsus length) and 61-86% (A; best separator tube length) of birds could be assigned to the correct sex. Combination of characters improved performance of sample-specific discriminant functions to a maximum of 84% in the N-sample (five characters) and 95% in the A-sample (four characters). The most useful character sets as well as ranking of individual characters (their weights) differed between samples. At the same time, cross-testing revealed asymmetry in the applicability of sample-specific functions to the other sample. Hence, the method of a generalized discriminant (Auk 110: 492-502, 1993) was implemented and tested to develop a species-specific discriminant for the Cape petrel. For all examined character sets, results of their cross-application to the other sample were improved by using character weights estimated from combined samples instead of weights derived only from the original sample. The generalized function (tube length + 1.05*bill depth at tube + 0.72*culmen length + 0.07*wing length) combined with a cut point calculated from a distribution of discriminant scores (assumed mixture of two normal distributions with possibly unequal variances) is suggested as currently the best compromise for sexing Cape petrels in populations for which specific functions are not yet available: comparison with our best sample-specific functions shows a decrease in accuracy by only 1% to 3%. However, examination of other promising characters (head length, bill depth at gonys, mid-toe length) is recommended to improve further a generalized discriminant. In aliases a larger percentage (N: 87-89%, 38 pairs; A: 100%, 27 pairs) of individuals was correctly sexed by within-pair comparison of discriminant scores than according to the sample-specific cut point. No clear evidence for assortative mating with respect to body size has been found in this study. Available biometric data show little evidence for geographical variation in the Cape petrel, which suggests good applicability of generalized sex-discriminants in other populations.</t>
  </si>
  <si>
    <t>DLO, IBN, Inst Forestry &amp; Nat Res, NL-1790 AD Den Burg, Netherlands; Palacky Univ, Ornithol Lab, Olomouc 77146, Czech Republic</t>
  </si>
  <si>
    <t>Palacky University Olomouc</t>
  </si>
  <si>
    <t>van Franeker, JA (corresponding author), DLO, IBN, Inst Forestry &amp; Nat Res, POB 167, NL-1790 AD Den Burg, Netherlands.</t>
  </si>
  <si>
    <t>Weidinger, Karel/J-6758-2012</t>
  </si>
  <si>
    <t>0952-8369</t>
  </si>
  <si>
    <t>J ZOOL</t>
  </si>
  <si>
    <t>J. Zool.</t>
  </si>
  <si>
    <t>10.1017/S0952836998008115</t>
  </si>
  <si>
    <t>128MX</t>
  </si>
  <si>
    <t>WOS:000076411500011</t>
  </si>
  <si>
    <t>Meidlinger, K; Tyler, PA; Peck, LS</t>
  </si>
  <si>
    <t>Reproductive patterns in the Antarctic brachiopod Liothyrella uva</t>
  </si>
  <si>
    <t>TEREBRATULINA-RETUSA; MARINE-INVERTEBRATES; FEEDING-ACTIVITY; EGG SIZE; TEMPERATURE; BRODERIP; CYCLE; SEASONALITY; METABOLISM; TISSUE</t>
  </si>
  <si>
    <t>The reproductive cycle of the Antarctic articulate brachiopod Liothyrella uva (Broderip, 1833) is described from monthly samples collected between September 1985 and July 1987 from a population at Signy Island, Antarctica. Spermatogenesis and oogenesis are described for the first time in this species. Surface dried-tissue masses for a standard individual (41 mm shell length) were calculated for the digestive diverticula, gut, lophophore and gonad from monthly dissections of 15 brachiopods. Seasonal patterns, with summer peaks, were observed in the digestive diverticula and gut. The lophophore and gonad masses did not exhibit seasonal trends. Females showed a sharp decrease in proportion of large oocytes between October and November in 1986, suggesting spawning during this period. There was no similar decrease during the same period in 1985. Mean percent spermatozoa measurements revealed a large increase in November 1985 and a rapid decline in December 1985. This suggested a large spawning event for males in 1985 which was not repeated the following year. These data indicate large inter-annual differences in reproductive activity as well as differences between males and females. They also suggest the possibility of sperm storage by females. Brood characteristics were also highly variable. The smallest brooding female was 31.5 mm in length. Some females brooded more than one developmental stage simultaneously, and variation in brood size (numbers of embryos or larvae held in the lophophore) and brood composition between individuals was high. All samples collected throughout the 2 yr period contained some females with broods. The data suggest that the reproductive strategy of L. uva is highly plastic, and that there may be three reproductive periodicities on seasonal, annual and inter-annual time scales.</t>
  </si>
  <si>
    <t>Southampton Oceanog Ctr, Southampton SO14 3ZH, Hants, England; British Antarctic Survey, Cambridge CB3 0ET, England</t>
  </si>
  <si>
    <t>NERC National Oceanography Centre; University of Southampton; UK Research &amp; Innovation (UKRI); Natural Environment Research Council (NERC); NERC British Antarctic Survey</t>
  </si>
  <si>
    <t>Meidlinger, K (corresponding author), Southampton Oceanog Ctr, European Way, Southampton SO14 3ZH, Hants, England.</t>
  </si>
  <si>
    <t>10.1007/s002270050381</t>
  </si>
  <si>
    <t>118XK</t>
  </si>
  <si>
    <t>WOS:000075866100016</t>
  </si>
  <si>
    <t>Wiebinga, CJ; de Baar, HJW</t>
  </si>
  <si>
    <t>Determination of the distribution of dissolved organic carbon in the Indian sector of the Southern Ocean</t>
  </si>
  <si>
    <t>dissolved organic carbon (DOC); apparent oxygen utilization (AOU); bacterioplankton; mineralisation</t>
  </si>
  <si>
    <t>TEMPERATURE CATALYTIC-OXIDATION; SARGASSO-SEA; NATURAL-WATERS; SEAWATER; MATTER; DOC; ATLANTIC; PHYTOPLANKTON; GROWTH; SAMPLE</t>
  </si>
  <si>
    <t>During France JGOFS campaign ANTARES 2 (R.V. Marion Dufresne), samples were taken along a section of the 62 degrees E meridian from 49 degrees to 66 degrees S. The high temperature catalytic oxidation (HTCO) method was used to determine the concentration of dissolved organic carbon (DOC). The analyses were conducted both on-board ship and after the cruise in the laboratory. Collecting and storing acidified samples for post-cruise analysis induced no significant differences. The use of two separate but identical channels on the carbon analyzer increased the number of samples analysed per day and allowed independent monitoring of the instrument blank and the calibration of the detector response. The mixed layer concentrations of organic carbon varied from about 52 mu M C in the Antarctic Divergence (64 degrees S) to about 63 mu M C in the Polar Frontal Zone (49 degrees S). Vertical profiles showed a slight, but significant, decrease in organic carbon below the mixed layer, to about 42 mu M C below 2000 m across the transect. The homogeneity and low concentration of organic carbon in deep water is consistent with values recently reported for the equatorial Atlantic and Pacific Ocean and supports the evidence for a constant deep water DOC concentration. In addition, this provides a verification of the instrument performance, thus validating observed DOC data trends and allowing a comparison with the 'modern' DOC literature. In general, the organic carbon concentration in the mixed layer was lower than previously published data of the main ocean basins, which might -reflect the low chlorophyll a concentration (&lt; 0.5 mu g/l) encountered in this region. Along the 62 degrees E meridian section, organic carbon showed a trend with corresponding measurements of phytoplankton biomass and bacterial production, underlining the dependence of bacterial growth on a pool of 'freshly' produced DOG. Organic carbon was found to exhibit a weak inverse trend versus apparent oxygen utilization (AOU). This suggests that only a small part of the oxygen consumption is due to the mineralisation of DOG. (C) 1998 Elsevier Science B.V. All rights reserved.</t>
  </si>
  <si>
    <t>Netherlands Inst Sea Res, NL-1790 AB Den Burg, Netherlands</t>
  </si>
  <si>
    <t>Wiebinga, CJ (corresponding author), Netherlands Inst Sea Res, POB 59, NL-1790 AB Den Burg, Netherlands.</t>
  </si>
  <si>
    <t>10.1016/S0304-4203(98)00014-0</t>
  </si>
  <si>
    <t>ZV982</t>
  </si>
  <si>
    <t>WOS:000074361800007</t>
  </si>
  <si>
    <t>Kattner, G; Hagen, W; Graeve, M; Albers, C</t>
  </si>
  <si>
    <t>Exceptional lipids and fatty acids in the pteropod Clione limacina (Gastropoda) from both polar oceans</t>
  </si>
  <si>
    <t>Clione; Limacina; alkyldiacylglycerol ethers (DAGE); odd-chain fatty acids; DMSP</t>
  </si>
  <si>
    <t>HERBIVOROUS COPEPODS; FOOD WEB; ANTARCTICA; MACROZOOPLANKTON; ZOOPLANKTON; SEA</t>
  </si>
  <si>
    <t>The gymnosomatous and thecosomatous pteropods, Clione limacina and its only prey Limacina helicina and L. retroversa, from Arctic and Antarctic waters as well as particulate matter have been investigated with respect to their lipid compositions. The close trophic relationships between phytoplankton-limacina-Clione were partially reflected by the fatty acid compositions due to high amounts of 16:1(n - 7), which indicate the ingestion of diatoms in L. helicina. However, the outstanding feature of this food chain concerns the extraordinary lipid and fatty acid compositions of C. limacina. Up to 40.6% of its total lipid consisted of l-O-alkyldiacylglycerol ethers, a very unusual depot lipid in the zooplankton. The other major storage lipid were triacylglycerols, which occurred in similar amounts. Tn addition, the various lipid classes of C. limacina exhibited unique fatty acid compositions, due to high percentages of odd-chain length components, up to one third of total fatty acids. The dominant odd-chain fatty acid was 17:1(n - 8) reaching 18%, followed by 15:0 and 17:0, with 17:1(n - 8) enriched in the diacylglycerol ethers. Major even-chain fatty acids were 16:0, 16:l(n - 7), 20:5(n - 3) and 22:6(n - 3). in L, helicina neither diacylglycerol ethers nor odd-chain fatty acids could be detected indicating that these atypical lipids are not ingested with the prey by C. limacina. De novo biosynthesis of these compounds is therefore suggested. The synthesis of odd-chain fatty acids is initiated with propionate. This precursor may originate from dimethyl-beta-propiothetin (DMPT), which has been described to be accumulated by L. helicina via phytoplankton uptake. Hence, C. limacina not only represents an exceptional member of the polar zooplankton due to its extreme trophic specialisation, it has also developed exceptional lipid biochemical adaptations in the Arctic and Antarctic ocean. (C) 1998 Elsevier Science B.V. All rights reserved.</t>
  </si>
  <si>
    <t>Alfred Wegener Inst Polar &amp; Meeresforsch, D-27515 Bremerhaven, Germany; Univ Kiel, Inst Polarokol, D-24148 Kiel, Germany</t>
  </si>
  <si>
    <t>Kattner, G (corresponding author), Alfred Wegener Inst Polar &amp; Meeresforsch, Postfach 120161, D-27515 Bremerhaven, Germany.</t>
  </si>
  <si>
    <t>Graeve, Martin/B-5751-2017</t>
  </si>
  <si>
    <t>Graeve, Martin/0000-0002-2294-1915; Hagen, Wilhelm/0000-0002-7462-9931</t>
  </si>
  <si>
    <t>10.1016/S0304-4203(98)00013-9</t>
  </si>
  <si>
    <t>WOS:000074361800010</t>
  </si>
  <si>
    <t>Prieto, MJ; Canals, M; Ercilla, G; de Batist, M</t>
  </si>
  <si>
    <t>Structure and geodynamic evolution of the central Bransfield Basin (NW Antarctica) from seismic reflection data</t>
  </si>
  <si>
    <t>Bransfield Basin; rift basin; seafloor spreading; geodynamic evolution; sedimentary infill; tectonostratigraphic units</t>
  </si>
  <si>
    <t>SOUTH-SHETLAND-ISLANDS; WEST ANTARCTICA; PENINSULA; STRAIT</t>
  </si>
  <si>
    <t>The Bransfield Basin is a young active rift basin located between the northern margin of the Antarctic Peninsula and the South Shetland Islands margin. Deception and Bridgeman islands divide the Bransfield Basin in three subbasins, the western, central and eastern. Specific morpho-tectonic features and sediment fill differentiate each subbasin. The structure and geodynamic evolution of the Central Bransfield Basin, which is in a stage of incipient seafloor spreading, have been investigated in detail from a dense grid of single-channel seismic reflection data. The Central Bransfield Basin is dominated by two families of normal faults which are oriented northeast and northwest. The NE-trending faults define three graben systems that are roughly parallel to the basin axis. In an across-basin direction, the mean trend of this family of faults ranges from N71 (the graben system nearest to the Antarctic Peninsula) over N64 (the intermediate graben system), to N53 (the graben system nearest to the South Shetland Islands). The NW-trending family of faults is responsible for the deepening of the basin from southwest to northeast. Both families of faults define the overall Central Bransfield Basin structure, resulting in a complex division of the basin floor. Additionally, tens of volcanic edifices are located on the basin floor, the larger ones being associated to the NW-trending faults. Interaction of tectonics and sedimentation give place to the differentiation of three tectonostratigraphic units, TUI, TU2 and TU3 (from oldest to youngest). TU1 occupies the southernmost graben system, and it is affected by the NE-trending bounding normal faults. TU2 extends further northwestwards than TU1 and essentially fills the intermediate graben system. TU3 represents a further extension of the sediment infill over most of the Central Bransfield Basin, and marks the initiation of the infill of the northernmost graben system. Faults bounding this graben also determine the straight and abrupt morphology of the South Shetland Islands margin. The observed arrangement of the graben systems and the filling tectonostratigraphic units reveal a migration of extensional tectonics and associated depocentres from the Antarctic Peninsula margin to the South Shetland Island margin. The left-lateral rotation from N71 to N53 in the mean trend of the three successive graben systems could have been produced by the oblique subduction of the Phoenix plate and the effect of the sinistral strike-slip movement of the South Scotia Ridge, 200 km northeastwards of the Central Bransfield Basin. (C) 1998 Elsevier Science B.V. All rights reserved.</t>
  </si>
  <si>
    <t>Univ Barcelona, Dept Estratigrafia &amp; Paleontol, GRC Geociencies Marines, CSIC,UA Geociencias marines, E-08071 Barcelona, Spain; State Univ Ghent, Renard Ctr Marine Geol, B-9000 Ghent, Belgium; CSIC, Inst Ciencias Mar, Dept Geol Marina &amp; Oceanog Fis, UA Geociencies Marines,UB, E-08039 Barcelona, Spain</t>
  </si>
  <si>
    <t>University of Barcelona; Consejo Superior de Investigaciones Cientificas (CSIC); Ghent University; University of Barcelona; Consejo Superior de Investigaciones Cientificas (CSIC); CSIC - Centro Mediterraneo de Investigaciones Marinas y Ambientales (CMIMA); CSIC - Instituto de Ciencias del Mar (ICM)</t>
  </si>
  <si>
    <t>Univ Barcelona, Dept Estratigrafia &amp; Paleontol, GRC Geociencies Marines, CSIC,UA Geociencias marines, E-08071 Barcelona, Spain.</t>
  </si>
  <si>
    <t>mjose@beagle.geo.ub.es</t>
  </si>
  <si>
    <t>Ercilla, Gemma/G-8180-2015; Prieto, Miguel J./L-7317-2014; De Batist, Marc/F-5722-2012; Canals, Miquel/F-4922-2013</t>
  </si>
  <si>
    <t>Prieto, Miguel J./0000-0001-9059-5519; De Batist, Marc/0000-0002-1625-2080; Ercilla, Gemma/0000-0002-9709-2938; Canals, Miquel/0000-0001-5267-7601</t>
  </si>
  <si>
    <t>10.1016/S0025-3227(98)00038-3</t>
  </si>
  <si>
    <t>104VY</t>
  </si>
  <si>
    <t>WOS:000075037800002</t>
  </si>
  <si>
    <t>Howe, JA; Livermore, RA; Maldonado, A</t>
  </si>
  <si>
    <t>Mudwave activity and current-controlled sedimentation in Powell Basin, northern Weddell Sea, Antarctica</t>
  </si>
  <si>
    <t>mudwaves; Antarctic Bottom Water; turbidites; contourites</t>
  </si>
  <si>
    <t>ROCKALL TROUGH; ATLANTIC; WATER; TURBIDITE; WAVES; FLOW; DEPOSITS; MARGIN; DRIFT; SLOPE</t>
  </si>
  <si>
    <t>An area of mudwave development has been identified from the northwestern Powell Basin, northern Weddell Sea, Antarctica. The wave-field is located near the base of the continental slope in water depths of 2800-3100 m, along the pathway of Antarctic Bottom Water (AABW) flow from the Weddell Sea. The waves are presently active, migrating up a low angle (0.6 degrees) slope to the northwest. They ate typically 20-50 m in amplitude and 2-4 km in wavelength, and cover an area greater than 1000 km(2). Swath mapping and high-resolution multi-channel seismic reflection profiling across the area show that the waves developed in association with basin floor channels and strongly current-influenced sediments. Acoustically, the sediments can be divided into three units. The uppermost unit, C, is 0.5 s twt (two-way time) thick with highly continuous, parallel reflectors displaying well-developed waveforms mimicking those at the seabed and, towards the southeast, a basin floor channel. Unit B is up to 0.8 s twt thick, with strong and continuous subhorizontal reflectors. In the mid-upper section of B are developed buried sinusoidal wave-forms and a base of slope depression or 'moat' and a sediment drift which is infilled and buried, the reflector pattern suggesting sediment supply under current control alongslope, interpreted as contouritic sediments. A lower transparent unit, A, is 1-1.5 s twt thick, with occasional reflectors. The original construction of the waves may have been by turbidity currents predominantly supplied from the basin floor channels. Present-day deposition across the waves is maintained by fine-grained sediment as a result of the lateral transfer of distal turbidites from the basin floor channels by bottom currents. It is suggested that the initiation of current-influenced sedimentation was closely linked to the onset of AABW flow during the Early Miocene, following the separation of the South Orkney Microcontinent and the opening of the Powell Basin during the Late Oligocene. (C) 1998 Elsevier Science B.V. All rights reserved.</t>
  </si>
  <si>
    <t>British Antarctic Survey, Cambridge CB3 0ET, England; Univ Granada, Fac Ciencias, Inst Andaluz Ciencias Tierra, Granada 18002, Spain</t>
  </si>
  <si>
    <t>UK Research &amp; Innovation (UKRI); Natural Environment Research Council (NERC); NERC British Antarctic Survey; Consejo Superior de Investigaciones Cientificas (CSIC); CSIC - Instituto Andaluz de Ciencias de la Tierra (IACT); University of Granada</t>
  </si>
  <si>
    <t>jaho@nerc-bas.ac.uk</t>
  </si>
  <si>
    <t>Livermore, Roy/M-1566-2019</t>
  </si>
  <si>
    <t>10.1016/S0025-3227(98)00036-X</t>
  </si>
  <si>
    <t>WOS:000075037800013</t>
  </si>
  <si>
    <t>Bunker, A</t>
  </si>
  <si>
    <t>West Antarctic ice sheet melt down?</t>
  </si>
  <si>
    <t>117WZ</t>
  </si>
  <si>
    <t>WOS:000075806800005</t>
  </si>
  <si>
    <t>Berrow, SD; Long, SC; McGarry, AT; Pollard, D; Rogan, E; Lockyer, C</t>
  </si>
  <si>
    <t>Radionuclides (137Cs and 40K) in harbour porpoises Phocoena phocoena from British and Irish coastal waters</t>
  </si>
  <si>
    <t>concentration factors; dose rates; harbour porpoise; Irish Sea; radioactivity; Sellafield</t>
  </si>
  <si>
    <t>Mean concentrations of Cs-137 and K-40 in harbour porpoise are presented. Concentrations of Cs-137 in porpoises originating from the Irish Sea were elevated relative to those from the Celtic Sea, Atlantic seaboard and the North Sea. Concentrations of K-40 were comparable between samples from all locations and similar to those reported elsewhere. Concentration factors (CF) determined for Irish Sea porpoise did not differ significantly from those measured for other regions. The dose arising from Cs-137 and K-40 was dominated by the internal component. As most of the total dose was attributable to the naturally occurring K-40, it is unlikely that the increased dose due to the anthropogenic input of radionuclides has a detrimental effect on the health of Irish Sea porpoise. Elevated concentrations of Cs-137 in porpoises from the Irish Sea suggest they may be resident in the area. (C) 1998 Elsevier Science Ltd. All rights reserved.</t>
  </si>
  <si>
    <t>British Antarctic Survey, Sea Mammal Res Unit, Cambridge CB3 0ET, England; Natl Univ Ireland Univ Coll Cork, Dept Zool &amp; Anim Ecol, Aquaculture Dev Ctr, Cork, Ireland; Radiol Protect Inst Ireland, Dublin 14, Ireland</t>
  </si>
  <si>
    <t>UK Research &amp; Innovation (UKRI); Natural Environment Research Council (NERC); NERC British Antarctic Survey; University College Cork</t>
  </si>
  <si>
    <t>British Antarctic Survey, Sea Mammal Res Unit, High Cross,Madingley Rd, Cambridge CB3 0ET, England.</t>
  </si>
  <si>
    <t>Brophy, Deirdre/JQW-0281-2023</t>
  </si>
  <si>
    <t>Rogan, Emer/0000-0002-1310-6846</t>
  </si>
  <si>
    <t>10.1016/S0025-326X(98)00004-6</t>
  </si>
  <si>
    <t>WOS:000075806800013</t>
  </si>
  <si>
    <t>Chatterjee, N; Bhattacharji, S</t>
  </si>
  <si>
    <t>Formation of Proterozoic tholeiite intrusives in and around Cuddapah Basin, South India and their Gondwana counterparts in East Antarctica; and compositional variation in their mantle sources</t>
  </si>
  <si>
    <t>NEUES JAHRBUCH FUR MINERALOGIE-ABHANDLUNGEN</t>
  </si>
  <si>
    <t>proterozoic; tholeiite; South India; Cuddapah Basin; fractional crystallization; trace element; mantle; xenolith; Gondwana; Antarctica</t>
  </si>
  <si>
    <t>CONTINENTAL FLOOD BASALTS; PARANA PLATEAU BRAZIL; GEOCHEMISTRY; PETROGENESIS; METASOMATISM; LHERZOLITES; LAURENTIA; ELEMENT; LAVAS; BELT</t>
  </si>
  <si>
    <t>Mid-late Proterozoic dike intrusions of tholeiites and their differentiates occur around the intracratonic Cuddapah Basin in the Archean basement of South India. Tholeiitic flows and sills of similar age (similar to 1.55 Ga) occur within the lower strata of the Cuddapah Basin. Whereas no fractional crystallization relations exist among the tholeiites outside the basin, basalts inside the basin may be related by fractional crystallization of olivine, clinopyroxene and plagioclase. A group of sills inside the basin contain gabbroic xenoliths and mafic xenocrysts. The bulk compositions of these sills indicate that they formed by accumulation of fractionated crystals from associated xenolith and xenocryst-free tholeiites. Fractionation and crystal-accumulation occurred at a depth of about 18 km (similar to 5 kb) as indicated by olivine-melt and two-pyroxene (in xenoliths) equilibria. Calculated olivine compositions (Fo(78-79)) in equilibrium with the tholeiites at 5 kb and 1142-1154 degrees C agree well with composition of the olivine in the xenoliths (Fo(78-82)) The temperature range is also in agreement with temperatures (1019-1148 degrees C at 5 kbar) obtained from two-pyroxene thermometry of the xenoliths. The calculated pressure and temperature support the existence of a mid-level magma chamber under Cuddapah Basin, postulated by previous workers. New trace element data on tholeiites, both inside and outside the basin, indicate that their mantle source was metasomatically enriched in Ba, Rb and K compared to mid oceanic ridge-basalt. Comparison with East Antarctic and other Proterozoic Gondwana tholeiites indicates that the metasomatic enrichment event occurred at similar to 2.9-2.7 Ga. Differences in trace element contents and ratios (e.g. Ti/Y, Ti/Zr, Y/Nb, Zr/Nb and Ba/Rb) of the temporally related Cuddapah tholeiites indicate that the sills inside the basin may have originated from a different mantle source than the dikes outside the basin. A comparison of major element fractionation relations, trace element ratios and published initial Si-87/Sr-86 indicates that the tholeiitic sills inside the Cuddapah Basin and the contemporary tholeiitic dikes of Napier Complex, Enderby Land, East Antarctica (studied by other workers) had a similar magmatic history and may have originated from a similar but not identical mantle source. These observations support Proterozoic reconstruction studies of Gondwandland. The Cuddapah-Enderby Land region mostly contains low P2O5-TiO2 basalts. The Jurassic division of high P2O5-TiO2 basalts and low P2O5-TiO2 basalts into two geographic domains of Gondwanaland does not apply to these Proterozoic basalts and the Jurassic high P2O5-TiO2 domain may have resulted from a change in the mantle source between the Proterozoic and the Jurassic.</t>
  </si>
  <si>
    <t>MIT, Dept Earth Atmospher &amp; Planetary Sci, Cambridge, MA 02139 USA; CUNY Brooklyn Coll, Dept Geol, Brooklyn, NY 11210 USA</t>
  </si>
  <si>
    <t>Massachusetts Institute of Technology (MIT); City University of New York (CUNY) System; Brooklyn College (CUNY)</t>
  </si>
  <si>
    <t>Chatterjee, N (corresponding author), MIT, Dept Earth Atmospher &amp; Planetary Sci, Cambridge, MA 02139 USA.</t>
  </si>
  <si>
    <t>Chatterjee, Nilanjan/J-3191-2019</t>
  </si>
  <si>
    <t>Chatterjee, Nilanjan/0000-0002-4175-5405</t>
  </si>
  <si>
    <t>E SCHWEIZERBART'SCHE VERLAGS</t>
  </si>
  <si>
    <t>NAEGELE U OBERMILLER JOHANNESSTRASSE 3A, D 70176 STUTTGART, GERMANY</t>
  </si>
  <si>
    <t>0077-7757</t>
  </si>
  <si>
    <t>NEUES JB MINER ABH</t>
  </si>
  <si>
    <t>Neues Jahrb. Mineral.-Abh.</t>
  </si>
  <si>
    <t>Mineralogy</t>
  </si>
  <si>
    <t>114AX</t>
  </si>
  <si>
    <t>WOS:000075587900003</t>
  </si>
  <si>
    <t>Crittenden, PD</t>
  </si>
  <si>
    <t>Nutrient exchange in an Antarctic macrolichen during summer snowfall snow melt events</t>
  </si>
  <si>
    <t>NEW PHYTOLOGIST</t>
  </si>
  <si>
    <t>WINTER FIELD CONDITIONS; PLANT-GROWTH-ANALYSIS; WILKES-LAND; CONTINENTAL ANTARCTICA; PHYSIOLOGICAL INVESTIGATIONS; PRECIPITATION NITROGEN; EPIPHYTIC LICHENS; WINDMILL ISLANDS; USNEA-SPHACELATA; CO2 EXCHANGE</t>
  </si>
  <si>
    <t>Concentrations of NH4+, NO3-, PO43-, K+, Ca2+ and Mg2+ in snow meltwater resulting from summer snow showers were monitored before and after its passage through monospecific stands of the Antarctic macrolichen Usnea sphacelata R. Br. The sampling was conducted under field conditions near Casey Station in East Antarctica between January and March. Total snow deposition during the 61-d period was 44 +/- 1 mm (rainfall equivalent depth) delivering 362 +/- 10, 87 +/- 2 and 9 +/- 1 mu mol m(-2) of NH4+, NO3- and PO43-, respectively. Meltwater that had percolated through U. sphacelata was depleted in NH4+ and NO3- equating with a retention by the lichen of 87 and 92 %, respectively, of the total wet deposition of these ions. Lichen-modified meltwater was slightly enriched in PO43-, but because the volume of the lichen percolate was smaller than that of the original snow deposition, the lichen achieved a net gain of 9 % of the total P deposited. Lichen percolate was also enriched in metal cations. Potassium loss associated with the melting of the heaviest snowfall (18 mm) was equivalent to only 0.05 % of the total K in the lichen suggesting that ion loss did not signal significant cellular damage. There was also a progressive increase in NH4+ concentration in unmodified meltwater from 3 to 21 nmol ml(-1) over a 3-d period whereas levels in the lichen-modified meltwater remained unchanged at less than or equal to 4 nmol ml(-1). This enrichment in NH4+ might have resulted from dry deposition onto the melting snow pack of NH3 emitted from nearby penguin rookeries. During the study, tagged thalli of U. sphacelata made a 2 % loss in dry mass although they appeared healthy and, at the end of the study, showed an effective quantum yield (Delta F/Fm') comparable with field material. The results are discussed in relation to the time of year that is likely to be most suitable for lichen growth in this continental Antarctic environment and the potential growth-led demand for N in U. sphacelata.</t>
  </si>
  <si>
    <t>Univ Nottingham, Dept Life Sci, Nottingham NG7 2RD, England</t>
  </si>
  <si>
    <t>University of Nottingham</t>
  </si>
  <si>
    <t>Univ Nottingham, Dept Life Sci, Nottingham NG7 2RD, England.</t>
  </si>
  <si>
    <t>pdc@nottingham.ac.uk</t>
  </si>
  <si>
    <t>0028-646X</t>
  </si>
  <si>
    <t>1469-8137</t>
  </si>
  <si>
    <t>NEW PHYTOL</t>
  </si>
  <si>
    <t>New Phytol.</t>
  </si>
  <si>
    <t>10.1046/j.1469-8137.1998.00236.x</t>
  </si>
  <si>
    <t>118EW</t>
  </si>
  <si>
    <t>WOS:000075826300010</t>
  </si>
  <si>
    <t>Smith, ND; Barrett, PJ; Woolfe, KJ</t>
  </si>
  <si>
    <t>Glacier-fed(?) sandstone sheets in the Weller Coal Measures (Permian), Allan Hills, Antarctica</t>
  </si>
  <si>
    <t>alluvial deposits; fluvial sedimentation; coal; paludal sedimentation; Allan Hills; Weller Coal Measures</t>
  </si>
  <si>
    <t>SASKATCHEWAN RIVER; SEQUENCES; FACIES; DEPOSITS; CANADA; SEDIMENTOLOGY; CYCLOTHEMS; MEMBER; ORIGIN; MODEL</t>
  </si>
  <si>
    <t>The upper member of the Weller Coal Measures (Permian) at Allan Hills, Victoria Land, Antarctica, consists of repetitive coal layers separated by sheetlike bodies of predominantly sandstone and subordinate siltstone and conglomerate, all of fluvial origin. Investigation of the lowermost inter-coal sheet (WC1) reveals abrupt planar basal contacts, persistent upward fining, and a strong westward palaeocurrent trend. Three Lithofacies are recognized in the WC1 sheet: (A) small-scale cross-bedded pebbly sandstone, which occupies most of the basal portions of the sheet, (B) large-scale cross-bedded medium-coarse sandstone, confined to a linear NE-SW belt overlying or locally replacing facies A, and (C) siltstone and rippled fine-grained sandstone, which drapes and overlaps facies A and B and contains Glossopteris leaves and Vertebraria root traces. Facies distribution patterns indicate the WC1 body initiated as an abrupt sheetlike incursion of coarse sediment over a low-lying mire (facies A), followed by entrenchment and confinement of flow as the sheet extended distally (facies B). Facies C represents low-energy floodplain sedimentation co-existing with and later succeeding facies B as deposition evolved toward abandonment and eventual renewal of peat deposition. Relatively rapid deposition of the sandstone sheet is implied by the lack of any significant hiatus markers. Outsized clasts up to 45 cm in diameter, one observed to display prominent striations, occur sporadically throughout the WC1, including within siltstone beds of facies C. These are inferred to be ice-rafted deposits which, together with other evidence, suggest meltwater influence, possibly glacial, on sediment transport and deposition. Preliminary examination of other sandstone sheets in the upper Weller indicates attributes similar to the WC1, including abrupt bases, upward-fining character, and predominantly westward palaeocurrent patterns. The Allan Hills exposures are believed to represent a succession of low-lying mire complexes interrupted by abrupt but infrequent incursions of coarse sediment, possibly by extreme meltwater floods. (C) 1998 Elsevier Science B.V. All rights reserved.</t>
  </si>
  <si>
    <t>Univ Illinois, Dept Earth &amp; Environm Sci MC 186, Chicago, IL 60607 USA; Victoria Univ Wellington, Antarctic Res Ctr, Sch Earth Sci, Wellington, New Zealand; James Cook Univ N Queensland, Dept Earth Sci, Townsville, Qld 4811, Australia</t>
  </si>
  <si>
    <t>University of Illinois System; University of Illinois Chicago; University of Illinois Chicago Hospital; Victoria University Wellington; James Cook University</t>
  </si>
  <si>
    <t>Smith, ND (corresponding author), Univ Illinois, Dept Earth &amp; Environm Sci MC 186, 845 W Taylor St, Chicago, IL 60607 USA.</t>
  </si>
  <si>
    <t>norman.d.smith@uic.edu</t>
  </si>
  <si>
    <t>Smith, Nathan John/JXY-5736-2024</t>
  </si>
  <si>
    <t>Smith, Nathan John/0009-0000-1982-8420</t>
  </si>
  <si>
    <t>10.1016/S0031-0182(98)00006-6</t>
  </si>
  <si>
    <t>ZY418</t>
  </si>
  <si>
    <t>WOS:000074619300003</t>
  </si>
  <si>
    <t>Broecker, WS; Henderson, GM</t>
  </si>
  <si>
    <t>The sequence of events surrounding Termination II and their implications for the cause of glacial-interglacial CO2 changes</t>
  </si>
  <si>
    <t>VOSTOK ICE-CORE; DEEP-OCEAN CIRCULATION; U-TH AGES; ATMOSPHERIC CO2; ANTARCTIC ICE; DEVILS-HOLE; SEA-LEVEL; CLIMATE; CORALS; RECORD</t>
  </si>
  <si>
    <t>Events surrounding Termination II, as preserved in the Vostok ice core, provide a number of clues about the mechanisms controlling glacial to interglacial climate change. Antarctic temperature and the atmosphere's CO2 content increased together over a period of similar to 8000 years. This increase is bounded by a drop in dust flux at its onset and by a drop in the delta(18)O of trapped air at its finish. A similar lag between dust flux and foraminiferal delta(18)O is seen in a Southern Ocean marine record, suggesting chat the delta(18)O in air trapped in Vostok ice is a valid proxy for ice volume. The synchronous change of atmospheric CO2 and southern hemisphere temperature thus preceded the melting of the northern hemisphere ice sheets. This observation, coupled with the fact that nutrient reorganization in the North Atlantic occurs with or after the sea level rise, eliminates many scenarios proposed to explain the CO2 rise, including those which rely on sea level change, conveyor-related nutrient redistribution, or North Atlantic cooling. Southern Ocean scenarios become the front but the most popular mechanism, iron fertilization, has two problems in explaining the CO2 rise before Termination Ig. First, much of the dust demise occurs prior to the change in CO2, so if iron is the villain, a threshold value of its supply must be called upon above which productivity does not continue to increase. Second the CO2 rise continues for some 4-5 kyr after the dust flux has fallen to close to zero. These problems may be solved if the increased iron supply in dust caused higher rates of nitrogen fixation during the glacial periods. In this case the residence time of oceanic nitrate of a few thousand years would enable decreasing productivity to be a global rather than a local phenomenon and would explain the slow rampup of atmospheric CO2.</t>
  </si>
  <si>
    <t>Columbia Univ, Lamont Doherty Earth Observ, Palisades, NY 10964 USA</t>
  </si>
  <si>
    <t>Columbia Univ, Lamont Doherty Earth Observ, Route 9W, Palisades, NY 10964 USA.</t>
  </si>
  <si>
    <t>broecker@ldeo.columbia.edu; gideon@ldeo.columbia.edu</t>
  </si>
  <si>
    <t>Henderson, Gideon/0000-0002-6279-7137</t>
  </si>
  <si>
    <t>10.1029/98PA00920</t>
  </si>
  <si>
    <t>105BQ</t>
  </si>
  <si>
    <t>WOS:000075052700005</t>
  </si>
  <si>
    <t>Zielinski, U; Gersonde, R; Sieger, R; Futterer, D</t>
  </si>
  <si>
    <t>Quaternary surface water temperature estimations: Calibration of a diatom transfer function for the Southern Ocean</t>
  </si>
  <si>
    <t>SOUTHEASTERN INDIAN-OCEAN; LATE PLEISTOCENE; PLANKTONIC-FORAMINIFERA; ATLANTIC SECTOR; WEDDELL SEA; SEDIMENTS; ANTARCTICA; ASSEMBLAGES; PACIFIC; SILICA</t>
  </si>
  <si>
    <t>The quantitative diatom analysis of 218 surface sediment samples recovered in the Atlantic and western Indian sector of the Southern Ocean is used to define a base of reference data for paleotemperature estimations from diatom assemblages using the Imbrie and Kipp transfer function method. The criteria which justify the exclusion of samples and species out of the raw data set in order to define a reference database are outlined and discussed. Sensitivity tests with eight data sets were achieved evaluating the effects of overall dominance of single species, different methods of species transfer functions were applied on a sediment core from the northern Antarctic zone. Overall dominance of Fragilariopsis kerguelensis in the diatom assemblages resulted in a close affinity between paleoremperature curve and relative abundance pattern of this species downcore. Logarithmic conversion of counting data applied with other ranking methods in order to compensate the dominance of F. kerguelensis revealed the best statistical results. A reliable diatom transfer function for future paleotemperature estimations is presented.</t>
  </si>
  <si>
    <t>Alfred Wegener Inst Polar &amp; Marine Res, Columbasstr, D-27568 Bremerhaven, Germany.</t>
  </si>
  <si>
    <t>uzielinski@awi-bremerhaven.de; rgersonde@awi-bremerhaven.de; rsieger@awi-bremerhaven.de; dfuetterer@awi-bremerhaven.de</t>
  </si>
  <si>
    <t>Sieger, Rainer/0000-0002-9175-884X</t>
  </si>
  <si>
    <t>10.1029/98PA01320</t>
  </si>
  <si>
    <t>WOS:000075052700006</t>
  </si>
  <si>
    <t>Frederick, JE; Qu, Z; Booth, CR</t>
  </si>
  <si>
    <t>Ultraviolet radiation at sites on the Antarctic coast</t>
  </si>
  <si>
    <t>PHOTOCHEMISTRY AND PHOTOBIOLOGY</t>
  </si>
  <si>
    <t>OZONE DEPLETION; PHYTOPLANKTON; STATION</t>
  </si>
  <si>
    <t>Ground-based measurements of solar UV irradiance combined with calculations using satellite-based ozone data are able to define the variability in UV sunlight at Palmer Station and McMurdo Station, Antarctica over time scales of years. Special attention focuses on the spring and summer seasons. Satellite data show that the annual ozone loss that occurs during October was greater in 1991-1992 than in 1979-1980, This led to average noontime UVB irradiances computed for clear skies in the latter period that exceeded those in the earlier time by 50-65%, However, a biologically weighted irradiance for suppression of photosynthesis in phytoplankton indigenous to the area near McMurdo Station increased by at most 5% over this period in response to the change in ozone owing to an important contribution from the UVA, At Palmer Station the behavior of ozone and cloudiness can mesh so as to produce the largest noontime UVB irradiances of the year in October as opposed to near summer solstice in December and January. Interannual variability in UVB irradiance during October, the month of the major ozone loss, is larger at Palmer than at McMurdo during the time spanned by ground-based irradiance measurements, being 1990-1994. However, interannual variations in cloudiness were more important than changes in ozone in causing the observed year-to-year variability at Palmer Station, The opposite situation prevailed at McMurdo during October, where interannual variations in ozone were responsible for most of the year-to-year differences in UVB received at the ground.</t>
  </si>
  <si>
    <t>Univ Chicago, Dept Geophys Sci, Chicago, IL 60637 USA; Biospher Inc, San Diego, CA USA</t>
  </si>
  <si>
    <t>University of Chicago</t>
  </si>
  <si>
    <t>Frederick, JE (corresponding author), Univ Chicago, Dept Geophys Sci, 5734 S Ellis Ave, Chicago, IL 60637 USA.</t>
  </si>
  <si>
    <t>frederic@sunbeam.uchicago.edu</t>
  </si>
  <si>
    <t>AMER SOC PHOTOBIOLOGY</t>
  </si>
  <si>
    <t>AUGUSTA</t>
  </si>
  <si>
    <t>BIOTECH PARK, 1021 15TH ST, SUITE 9, AUGUSTA, GA 30901-3158 USA</t>
  </si>
  <si>
    <t>0031-8655</t>
  </si>
  <si>
    <t>PHOTOCHEM PHOTOBIOL</t>
  </si>
  <si>
    <t>Photochem. Photobiol.</t>
  </si>
  <si>
    <t>10.1562/0031-8655(1998)068&lt;0183:URASOT&gt;2.3.CO;2</t>
  </si>
  <si>
    <t>112FU</t>
  </si>
  <si>
    <t>WOS:000075484100014</t>
  </si>
  <si>
    <t>Royuela, M; Meyer-Rochow, VB; Fraile, B; Paniagua, R</t>
  </si>
  <si>
    <t>Ultrastructure of muscle cells in Acetabulostoma (Crustacea, Ostracoda) - mussel shrimp from the Ross Sea (Antarctica)</t>
  </si>
  <si>
    <t>OLIGOCHAETA; ANNELIDA; FIBERS; NUAGE; CRAB</t>
  </si>
  <si>
    <t>This paper gives the first ultrastructural description of muscle cells in Acetabulostoma sp., a small (less than 1 mm in length) Antarctic ostracod. All muscle cells showed the same ultrastructural pattern: this consisted of mononucleated cells containing a single thick myofibril which was surrounded by numerous mitochondria. The nucleus and most cytoplasmic organelles were also located in the cell periphery. The myofibril showed the ultrastructural pattern of transversely striated muscle. Myofilaments formed well-defined sarcomeres, delimited by Z lines. The average sarcomere lengths were: total sarcomere 4.6 +/- 0.9 mu m, A band 2.86 +/- 0.45 mu m (0.178 +/- 0.06 mu m corresponded to the H band), and I band 1.72 +/- 0.58 mu m The myofilament diameters were 5.8 +/- 0.3 nm (thin myofilaments), and 14.8 +/- 0.68 nm (thick myofilaments). In the same myofibril and in cross sections, some thick filaments appeared homogeneously dense whereas others showed a tubular appearance. Each thick filament was surrounded by 12 thin filaments, and the thin/thick filament ratio was 6/1. The sarcotubular system was well developed and consisted of both transverse and longitudinal components, both running within the myofibril among the myofilaments. The transverse components consisted of 20- to 22-nm-diameter tubules that originated from invaginations of the plasma membrane (T tubules). They penetrated radially throughout each A-I interband and branched inside the myofibril. The longitudinal components consisted of bundles of parallel-arranged sarcoplasmic reticulum saccules running parallel to the myofilaments. Each bundle comprised from three to six 30 to 35-nm-diameter saccules. At the levels of the A-I interbands, the saccules of some bundles fused together to form triads with the T tubules. In the triad, the distance between the sarcoplasmic reticulum tubules and the T tubules was 10-14 nm. The mitochondria were large, presented numerous transverse cristae, and were joined one to another by electron-dense plaques. The muscle cell tips ending beneath the cuticle were connected to a modified epidermal cell by a specialized intercellular junction of the fascia adherens type. This junction occurred at the level of a Z line, and displayed an irregular outline with numerous interdigitations that formed conical projections. The ultrastructural characteristics of the myofibrillar apparatus, the plentiful sarcotubular system and the abundance of mitochondria in Acetabulostoma muscles suggest that this muscle type is concurrently a developed model of both the fast-twitch type and the fatigue-resistant type.</t>
  </si>
  <si>
    <t>Univ Oulu, Inst Arctic Med, SF-90220 Oulu, Finland; Univ Alcala de Henares, Dept Genet &amp; Cell Biol, E-28871 Alcala De Henares, Madrid, Spain</t>
  </si>
  <si>
    <t>University of Oulu; Universidad de Alcala</t>
  </si>
  <si>
    <t>Univ Oulu, Inst Arctic Med, Aapistie 1, SF-90220 Oulu, Finland.</t>
  </si>
  <si>
    <t>MEYER-ROCHOW, V. Benno/0000-0003-1531-9244; Royuela, Mar/0000-0003-1999-9849</t>
  </si>
  <si>
    <t>10.1007/s003000050279</t>
  </si>
  <si>
    <t>109RX</t>
  </si>
  <si>
    <t>WOS:000075337900001</t>
  </si>
  <si>
    <t>Hanel, C; Chown, SL</t>
  </si>
  <si>
    <t>The impact of a small, alien invertebrate on a sub-Antarctic terrestrial ecosystem: Limnophyes minimus (Diptera, Chironomidae) at Marion Island</t>
  </si>
  <si>
    <t>PRINCE-EDWARD-ISLANDS; SOUTH-GEORGIA; CURCULIONIDAE; ECOLOGY; CATS; MICE</t>
  </si>
  <si>
    <t>Density and biomass of the larvae of a small, alien chironomid midge, Limnophyes mininus, whose parthenogenetic adult females do not feed, were quantified for ten major lowland plant communities at sub-Antarctic Marion Island (46 degrees 52'S 37 degrees 51'E) and compared with the density and biomass of indigenous macro-invertebrates in the same communities. An estimate of litter consumption by larvae of this midge was also made. L. minimus reached high densities in most of the plant communities sampled, with the highest density being recorded in the Cotula plumosa biotically influenced community (annual mean of 4,365 individuals m(-2)) and the lowest in the Crassula moschata salt spray community (annual mean of 41 individuals m(-2)). Estimates of litter ingestion indicated that L. minimus larvae are capable of consuming between 0.07 and 8.54 g((dry mass)) m(-2) per year, depending on the community. In some communities this litter consumption amounted to an order of magnitude more than that consumed by Pringleophaga marioni (Lepidoptera, Tineidae). Although the larvae of this moth species are thought to represent the bottleneck to nutrient recycling on the island, this study showed that midge larvae may also contribute substantially to this process. As a consequence, the considerable changes that have been predicted to occur in Marion Island's terrestrial ecosystem as a consequence of enhanced predation by mice on P. marioni larvae may be retarded or obscured by the contribution of the midge larvae to nutrient cycling. Hence, it is suggested that greater attention be given to the small and inconspicuous elements of the alien sub-Antarctic faunas because such species may have profound consequences for ecosystem functioning on these islands.</t>
  </si>
  <si>
    <t>10.1007/s003000050282</t>
  </si>
  <si>
    <t>WOS:000075337900004</t>
  </si>
  <si>
    <t>Skotnicki, ML; Selkirk, PM; Ninham, JA</t>
  </si>
  <si>
    <t>RAPD analysis of genetic variation and dispersal of the moss Bryum pseudotriquetrum from Southern Victoria Land, Antarctica</t>
  </si>
  <si>
    <t>MARKERS</t>
  </si>
  <si>
    <t>The RAPD technique (Random Amplified Polymorphic DNA) was used to assess the level of genetic diversity in Bryum pseudotriquetrum from Southern Victoria Land, Antarctica. Isolates were collected from two transacts, and from several other geographically distinct populations within 150 km of Ross Island. Moss growth in one transect, sampled down a small exposed meltstream channel at Cape Chocolate, was very sparse with no other moss colonies found within several hundred meters. Isolates from this transect showed low levels of genetic variation, with many moss clumps appearing identical; these were probably dispersed by water along the channel. In another transect analysed from Granite Harbour, the moss colonies were large, luxuriant and protected by boulders. These isolates showed considerably higher levels of genetic variability than the Cape Chocolate samples, and both within and between-clump variation was observed. Samples from other sites showed varying levels of genetic diversity. It appears from these results that the degree of protection from the harsh Antarctic environment can influence not only the type of moss growth, but also the level of genetic diversity. Evidence is presented for both short-distance dispersal by water and long-distance dispersal by wind.</t>
  </si>
  <si>
    <t>Australian Natl Univ, Res Sch Biol Sci, Inst Adv Studies, Canberra, ACT 2601, Australia; Macquarie Univ, Sch Biol Sci, Sydney, NSW 2109, Australia</t>
  </si>
  <si>
    <t>Australian National University; Macquarie University</t>
  </si>
  <si>
    <t>Skotnicki, ML (corresponding author), Australian Natl Univ, Res Sch Biol Sci, Inst Adv Studies, POB 475, Canberra, ACT 2601, Australia.</t>
  </si>
  <si>
    <t>10.1007/s003000050285</t>
  </si>
  <si>
    <t>WOS:000075337900007</t>
  </si>
  <si>
    <t>Stock, C; Kruppel, T; Lueken, W; Key, G</t>
  </si>
  <si>
    <t>Congruence of electrical properties in two Antarctic and two middle-latitude marine species of Euplotes (Ciliata, Hypotrichida)</t>
  </si>
  <si>
    <t>THERMAL AVOIDANCE-BEHAVIOR; PARAMECIUM-CAUDATUM; VANNUS; TEMPERATURE; MEMBRANE; CURRENTS; RESPONSES; CRASSUS</t>
  </si>
  <si>
    <t>Electric membrane properties and motor behaviour of two Antarctic and two middle-latitude species of Euplotes were compared. Membrane potential fluctuations and whole-cell currents were measured using the whole cell clamp. The electrical properties of both of the Antarctic species between themselves and of both of the middle-latitude species are nearly identical. Furthermore, after warming up to 22 degrees C, the Antarctic species grown at 4 degrees C show the same pattern of spontaneous potential fluctuations, induced potential oscillations and membrane currents as the middle-latitude species grown and measured at 22 degrees C. After cooling down to 4 degrees C, the middle-latitude species grown at 22 degrees C show the same electrical properties as the Antarctic species grown and measured at 4 degrees C. The congruence of the temperature-dependent electrical properties in Euplotes species from completely different habitats is presumably based on a universal mechanism of temperature dependence of ionic conductances, indicating the close physiological relationship among the species.</t>
  </si>
  <si>
    <t>Univ Osnabruck, FB Biol Chem, AG Zoophysiol, D-49069 Osnabruck, Germany</t>
  </si>
  <si>
    <t>University Osnabruck</t>
  </si>
  <si>
    <t>Kruppel, T (corresponding author), Univ Osnabruck, FB Biol Chem, AG Zoophysiol, Barbarastr 11, D-49069 Osnabruck, Germany.</t>
  </si>
  <si>
    <t>10.1007/s003000050286</t>
  </si>
  <si>
    <t>WOS:000075337900008</t>
  </si>
  <si>
    <t>Gradinger, R; Schnack-Schiel, SB</t>
  </si>
  <si>
    <t>Potential effect of ice formation on Antarctic pelagic copepods: salinity induced mortality of Calanus propinquus and Metridia gerlachei in comparison to sympagic acoel turbellarians</t>
  </si>
  <si>
    <t>WEDDELL SEA ANTARCTICA; LIFE-CYCLE; CALANOIDES-ACUTUS; RHINCALANUS-GIGAS; COMMUNITY; GROWTH; TEMPERATURE; ZOOPLANKTON; STRATEGIES; CRUSTACEA</t>
  </si>
  <si>
    <t>The salinity tolerance of two dominant Antarctic planktic copepods (Calanus propinquus and Metridia gerlachei) was tested over a range from 34 to 85 PSU and compared with that of sympagic turbellarians. The copepods survived only at a salinity of 34, higher salinities causing death within days. The turbellarians survived at salinities up to 75. The data imply that C. propinquus and M. gerlachei will not survive incorporation into newly forming sea ice because of the increasing brine salinity in new ice.</t>
  </si>
  <si>
    <t>Univ Kiel, Inst Polar Ecol, D-24148 Kiel, Germany; Alfred Wegener Inst Polar &amp; Marine Res, D-27515 Bremerhaven, Germany</t>
  </si>
  <si>
    <t>Gradinger, R (corresponding author), Univ Kiel, Inst Polar Ecol, Wischhofstr 1-3, D-24148 Kiel, Germany.</t>
  </si>
  <si>
    <t>rgradinger@ipoe.de</t>
  </si>
  <si>
    <t>Gradinger, Rolf/E-4965-2015</t>
  </si>
  <si>
    <t>Gradinger, Rolf/0000-0001-6035-3957</t>
  </si>
  <si>
    <t>10.1007/s003000050288</t>
  </si>
  <si>
    <t>WOS:000075337900010</t>
  </si>
  <si>
    <t>Cantrill, DJ; Webb, JA</t>
  </si>
  <si>
    <t>Permineralized pleuromeid lycopsid remains from the early Triassic Arcadia formation, Queensland, Australia</t>
  </si>
  <si>
    <t>REVIEW OF PALAEOBOTANY AND PALYNOLOGY</t>
  </si>
  <si>
    <t>Triassic; Australia; Bowen Basin; lycopsida</t>
  </si>
  <si>
    <t>BOWEN BASIN; LYCOPHYTES; EVOLUTION</t>
  </si>
  <si>
    <t>Dispersed permineralized cones, stems, rhizomorphs and roots attest to a diversity of pleuromeids in the Early Triassic Bowen Basin of eastern Australia. The lack of organic connection precludes whole plant identification and the material is assigned to form-taxa. Cones are referred to Cylostrobus clavatus Cantrill et Webb, sp. nov., a bisporangiate cone, and Pleuromeia reniformis Cantrill et Webb, sp. nov., a monosporangiate cone. The stem Pleurocaulis rewanense Cantrill et Webb, gen. et sp. nov, has a central exarch protostele surrounded by an aerenchymous inner cortex. Two unlobed rhizomorphs with internal anatomy are recognized, Helicorhiza duckworthensis Cantrill et Webb, gen. et sp. nov, and Cidarophyton rewanense. Duckworthia isoeteformis Cantrill et Webb, gen. et sp. nov. is a form taxon for roots that are monarch with an eccentric vascular bundle and were presumably borne by the rhizomorphs. The anatomy of the plants in conjunction with the sedimentary setting and high palaeolatitudes suggests that the Bowen Basin lycopsids were small ephemeral plants that exploited seasonally wet conditions. (C) 1998 Elsevier Science B.V. All rights reserved.</t>
  </si>
  <si>
    <t>Univ Melbourne, Sch Bot, Parkville, Vic 3052, Australia; La Trobe Univ, Sch Earth Sci, Bundoora, Vic 3083, Australia</t>
  </si>
  <si>
    <t>University of Melbourne; La Trobe University</t>
  </si>
  <si>
    <t>Cantrill, DJ (corresponding author), British Antarctic Survey, NERC, Geosci Div, Madingley Rd, Cambridge CB3 0ET, England.</t>
  </si>
  <si>
    <t>Cantrill, David/R-1415-2019; Webb, John/B-2479-2012</t>
  </si>
  <si>
    <t>Cantrill, David/0000-0002-1185-4015; Webb, John/0000-0002-6357-5966</t>
  </si>
  <si>
    <t>0034-6667</t>
  </si>
  <si>
    <t>REV PALAEOBOT PALYNO</t>
  </si>
  <si>
    <t>Rev. Palaeobot. Palynology</t>
  </si>
  <si>
    <t>10.1016/S0034-6667(98)00008-6</t>
  </si>
  <si>
    <t>Plant Sciences; Paleontology</t>
  </si>
  <si>
    <t>107FA</t>
  </si>
  <si>
    <t>WOS:000075195400005</t>
  </si>
  <si>
    <t>Whitehead, JA</t>
  </si>
  <si>
    <t>Topographic control of oceanic flows in deep passages and straits</t>
  </si>
  <si>
    <t>REVIEWS OF GEOPHYSICS</t>
  </si>
  <si>
    <t>ANTARCTIC BOTTOM WATER; ROTATING HYDRAULIC MODELS; NORTH-ATLANTIC; CHANNEL FLOW; SEA-LEVEL; MEDITERRANEAN-SEA; WESTERN ATLANTIC; SAMOAN PASSAGE; FRACTURE-ZONE; CHOKED FLOWS</t>
  </si>
  <si>
    <t>Saddle points between neighboring deep ocean basins are the sites of unidirectional flow from one basin to the next, depending on the source of bottom water. Flow in these sites appears to be topographically controlled so the interface between the bottom water and the water above adjusts itself to permit bottom water flow from the basin that contains a source of bottom water into the next. Examples in the Atlantic include flow in the Romanche Fracture Zone, the Vema Channel, the Ceara Abyssal Plain, the Anegada-Jungfern passage, and the Discovery Gap, but there are many more. Theoretical predictions of volume flux using a method that requires only conductivity-temperature depth data archives and detailed knowledge of bathymetry near the saddle point are compared with volume flux estimates using current meters and/or geostrophic estimates for seven cases. The ratio of prediction to volume flux estimate ranges from 1.0 to 2.7. Some ocean straits that separate adjacent seas are also found to critically control bidirectional flows between basins. Theory of the influence of rotation on such critical flows is reviewed. Predictions of volume flux in eight cases are compared with ocean estimates of volume flux from traditional methods.</t>
  </si>
  <si>
    <t>Woods Hole Oceanog Inst, Dept Phys Oceanog, Woods Hole, MA 02543 USA</t>
  </si>
  <si>
    <t>Whitehead, JA (corresponding author), Woods Hole Oceanog Inst, Dept Phys Oceanog, Mail Stop 21, Woods Hole, MA 02543 USA.</t>
  </si>
  <si>
    <t>jwhitehead@whoi.edu</t>
  </si>
  <si>
    <t>8755-1209</t>
  </si>
  <si>
    <t>REV GEOPHYS</t>
  </si>
  <si>
    <t>Rev. Geophys.</t>
  </si>
  <si>
    <t>10.1029/98RG01014</t>
  </si>
  <si>
    <t>126CX</t>
  </si>
  <si>
    <t>WOS:000076276300005</t>
  </si>
  <si>
    <t>Holness, S; Boelhouwers, J</t>
  </si>
  <si>
    <t>Some observations on Holocene changes in periglacial activity at Long Ridge, Marion Island</t>
  </si>
  <si>
    <t>Extensive evidence of Holocene periglacial activity exists at Long Ridge, Marion Island, in the maritime sub-Antarctic. This includes blockfields, stone-banked lobes, solifluction terraces, Azorella terraces and various forms of patterned ground. This paper examines the spatial distribution and variation of relict, as well as present-dnp periglacial forms and activity Evidence is presented for considerably colder conditions on Marion Island earlier in the Holocene. In addition, evidence is advanced for a ;steeper periglacial gradient than at present.</t>
  </si>
  <si>
    <t>Univ Western Cape, Dept Earth Sci, ZA-7535 Bellville, South Africa</t>
  </si>
  <si>
    <t>University of the Western Cape</t>
  </si>
  <si>
    <t>Holness, S (corresponding author), Univ Western Cape, Dept Earth Sci, Private Bag X17, ZA-7535 Bellville, South Africa.</t>
  </si>
  <si>
    <t>Boelhouwers, Jan/A-6435-2009</t>
  </si>
  <si>
    <t>P O BOX 2600, PRETORIA 0001, SOUTH AFRICA</t>
  </si>
  <si>
    <t>136JK</t>
  </si>
  <si>
    <t>WOS:000076855500010</t>
  </si>
  <si>
    <t>Hirsch, P; Ludwig, W; Hethke, C; Sittig, M; Hoffmann, B; Gallikowski, CA</t>
  </si>
  <si>
    <t>Hymenobacter roseosalivarius gen. nov., sp. nov. from continental Antarctic soils and sandstone: Bacteria of the Cytophaga/Flavobacterium/Bacteroides line of phylogenetic descent</t>
  </si>
  <si>
    <t>SYSTEMATIC AND APPLIED MICROBIOLOGY</t>
  </si>
  <si>
    <t>Hymenobacter; Taxeobacter; Antarctica; cryptoendolithic bacteria; soil bacteria; bacterial spreading on surfaces; fatty acids; polymer hydrolyses</t>
  </si>
  <si>
    <t>DRY VALLEYS; MICROORGANISMS; DATABASE; DESERT; ACID; RNA</t>
  </si>
  <si>
    <t>Aseptically collected sandstone and soil samples from the antarctic Dry Valleys were inoculated into oligotrophic media and incubated under low light intensities. A total of 41 Gram-negative isolates were obtained with reddish colonies spreading on agar. A sandstone isolate and four soil strains were characterized further. They were nearly identical in morphological, physiological, biochemical and chemotaxonomic properties. They produced large amounts of extracellular polymer and utilized for growth: glucose, saccharose, mannitol, sorbitol, L-aspartate, malate and acetate, but not D-ribose, adonitol, DL-alanine, glutamate, glycolate, lactate or succinate. All strains hydrolyzed gelatin, starch, casein, xylan, Tweens 80 or 60 and dead or living yeast cells, but not cellulose or pectin. Nitrate was not reduced, ethanol was not oxidized and acid was not produced from maltose, mannitol or dulcitol. Ammonia was not produced from peptone. They were strictly aerobic. Major fatty acids were n 16:1 d 9, n 16:1 d 11, n 17:1 d 11, and i 15:0. The strains contained the quinone MK-7 and phosphatidylethanolamine as the main phospholipid. The base ratio ranged from 55 to 61 mol% G+C. A 16S rRNA sequence analysis of strains AA-688 and AA-718 showed these to be identical and to represent a special phylogenetic group within the Cytophaga / Flavobacterium / Bacteroides major line of descent. Three soil strains labeled Taxeobacrer Txc1, Txg1, and Txo1 (REICHENBACH, 1992) belonged to the same group but had lower sequence similarities (&lt;95%). Some of their characteristics were different from chose of the antarctic strains: the utilization of C-compounds, hydrolysis of polymers, temperature tolerances, major fatty acids and base ratios. Txc1 and Txg1 may later have to be considered as members of this group, possibly on the species level, while Txo1 could represent a different but related genus. It is concluded that the five antarctic strains represent a new genus and species for which the name Hymenobacter roseosalivarius is proposed. The type strain is AA-718(T) (DSM 11622(T)).</t>
  </si>
  <si>
    <t>Univ Kiel, Inst Allgemeine Mikrobiol, D-24118 Kiel, Germany; Tech Univ Munich, Lehrstuhl Mikrobiol, D-8000 Munich, Germany; Hess Minist Umwelt Energie Jugend Familie &amp; Gesun, Wiesbaden, Germany</t>
  </si>
  <si>
    <t>University of Kiel; Technical University of Munich</t>
  </si>
  <si>
    <t>Hirsch, P (corresponding author), Univ Kiel, Inst Allgemeine Mikrobiol, Bot Garten 1-9, D-24118 Kiel, Germany.</t>
  </si>
  <si>
    <t>Phirsch@ifam.uni-kiel.de</t>
  </si>
  <si>
    <t>0723-2020</t>
  </si>
  <si>
    <t>SYST APPL MICROBIOL</t>
  </si>
  <si>
    <t>Syst. Appl. Microbiol.</t>
  </si>
  <si>
    <t>10.1016/S0723-2020(98)80047-7</t>
  </si>
  <si>
    <t>121RN</t>
  </si>
  <si>
    <t>WOS:000076027900007</t>
  </si>
  <si>
    <t>Walland, DJ; Simmonds, IH</t>
  </si>
  <si>
    <t>Sensitivity of the Southern Hemisphere Semiannual Oscillation in surface pressure to changes in surface boundary conditions</t>
  </si>
  <si>
    <t>GENERAL-CIRCULATION MODEL; SEA-LEVEL; ANNUAL CYCLE; VARIABILITY; CLIMATOLOGY; CYCLONES; ICE</t>
  </si>
  <si>
    <t>The Melbourne University General Circulation Model has been used to simulate the climate of the Southern Hemisphere and its portrayal of the Semiannual Oscillation (SAO) in surface pressure has been assessed. The model is shown to underestimate the amplitude of the SAO slightly but simulate its general structure quite well. To assess the relative importance of various factors in determining the characteristics of the SAG, me perform several anomaly experiments, In particular, we conduct an experiment where the Antarctic topography is leveled, an experiment where the sea ice surrounding the Antarctic continent is removed and also an experiment that combines the two changes. The impact on the SAO is examined as a means to attempt to determine what the mechanisms for the changes are. The removal of topography, in particular, is demonstrated to have a great effect on the SAG, while the sea ice makes a more modest impact but of the opposite nature. Some possible mechanisms are suggested.</t>
  </si>
  <si>
    <t>Monash Univ, CRC So Hemisphere Meteorol, Clayton, Vic 3168, Australia; Univ Melbourne, Sch Earth Sci, Parkville, Vic 3052, Australia</t>
  </si>
  <si>
    <t>Monash University; University of Melbourne</t>
  </si>
  <si>
    <t>Walland, DJ (corresponding author), Monash Univ, CRC So Hemisphere Meteorol, Clayton, Vic 3168, Australia.</t>
  </si>
  <si>
    <t>Simmonds, Ian/0000-0002-4479-3255</t>
  </si>
  <si>
    <t>0280-6495</t>
  </si>
  <si>
    <t>10.1034/j.1600-0870.1998.t01-5-00004.x</t>
  </si>
  <si>
    <t>122MY</t>
  </si>
  <si>
    <t>WOS:000076077100004</t>
  </si>
  <si>
    <t>Iken, K; Avila, C; Ciavatta, ML; Fontana, A; Cimino, G</t>
  </si>
  <si>
    <t>Hodgsonal, a new drimane sesquiterpene from the mantle of the Antarctic nudibranch Bathydoris hodgsoni</t>
  </si>
  <si>
    <t>TETRAHEDRON LETTERS</t>
  </si>
  <si>
    <t>natural products; terpenes; aldehydes; molluscs</t>
  </si>
  <si>
    <t>CHEMICAL DEFENSE; DITERPENOIC ACID</t>
  </si>
  <si>
    <t>A new drimane sesquiterpene, hodgsonal (1), has been isolated from the mantle extract of the Antarctic opisthobranch mollusc Bathydoris hodgsoni. The structure of 1, including the absolute stereochemistry, has been elucidated by spectroscopic and chemical methods.The localization of 1 in the mantle and the analogies with related drimane compounds may indicate a defensive role against predators. (C) 1998 Elsevier Science Ltd. All rights reserved.</t>
  </si>
  <si>
    <t>CNR, Ist Chim Mol Interesse Biol, I-80072 Arco, Napoli, Italy; Alfred Wegener Inst Polar &amp; Marine Res, D-27568 Bremerhaven, Germany; CSIC, Ctr Estudis Avancats, Blanes 17300, Girona, Spain</t>
  </si>
  <si>
    <t>Consiglio Nazionale delle Ricerche (CNR); Helmholtz Association; Alfred Wegener Institute, Helmholtz Centre for Polar &amp; Marine Research; Consejo Superior de Investigaciones Cientificas (CSIC); CSIC - Centre d'Estudis Avancats de Blanes (CEAB)</t>
  </si>
  <si>
    <t>Fontana, A (corresponding author), CNR, Ist Chim Mol Interesse Biol, Via Toiano 6, I-80072 Arco, Napoli, Italy.</t>
  </si>
  <si>
    <t>Fontana, Angelo/C-3354-2012; Avila, Conxita/B-9466-2008; Fontana, Angelo/AAO-2741-2021; CIAVATTA, MARIA LETIZIA/F-6722-2013</t>
  </si>
  <si>
    <t>Avila, Conxita/0000-0002-5489-8376; Fontana, Angelo/0000-0002-5453-461X; CIAVATTA, MARIA LETIZIA/0000-0002-7308-1011</t>
  </si>
  <si>
    <t>0040-4039</t>
  </si>
  <si>
    <t>TETRAHEDRON LETT</t>
  </si>
  <si>
    <t>Tetrahedron Lett.</t>
  </si>
  <si>
    <t>JUL 30</t>
  </si>
  <si>
    <t>10.1016/S0040-4039(98)01095-8</t>
  </si>
  <si>
    <t>Chemistry, Organic</t>
  </si>
  <si>
    <t>100TP</t>
  </si>
  <si>
    <t>WOS:000074831700052</t>
  </si>
  <si>
    <t>He, YD; Price, PB</t>
  </si>
  <si>
    <t>Remote sensing of dust in deep ice at the South Pole</t>
  </si>
  <si>
    <t>AIR-HYDRATE CRYSTALS; ANTARCTIC ICE; CLIMATIC IMPLICATIONS; OPTICAL-PROPERTIES; BLACK CARBON; CORE; VOSTOK; SNOW; AEROSOL; RECORD</t>
  </si>
  <si>
    <t>A three-dimensional array of phototubes in deep ice at the South Pole called the Antarctic Muon and Neutrino Detector Array (AMANDA) is recording Cherenkov light pulses that serve as tracers of high-energy neutrinos from throughout the Universe. The performance of this neutrino observatory will ultimately be constrained by the optical properties of the ice at near-ultraviolet and visible wavelengths. At depths greater than similar to 1.4 km, air bubbles are absent and light travels great;distances, limited only by absorption and scattering by dust in the ice. In this paper, the Mie theory is used to predict the magnitude and wavelength dependence of the scattering and absorption coefficients and mean cosine of the scattering angle for deep South Pole ice. The results depend on the composition, size distribution, and depth profile of insoluble mineral grains, sea salt grains, liquid acid droplets, and soot particles. With most probable values for mineral grains, sea salt, acid, and soot, we fit optical data in the wavelength interval of 300-500 nm for depths of 1.6-1.83 km, taken with pulsed laser beams as light sources and with AMANDA phototubes as receivers. Our work provides quantitative evidence that aerosols deposited in snow and compacted into the ice account for the optical properties at wavelengths similar to 300-500 nm. We finally predict optical properties of the South Pole ice at 2.5 km, a depth future AMANDA strings may reach. We expect that at 2.5 km the effective scattering, which is predominantly due to acid droplets, decreases by a factor of similar to 1 5 relative to that at 1.7 km and that absorption, which is predominantly due to the mineral and soot, decreases by a factor of similar to 3-5 relative to that at 1.7 km.</t>
  </si>
  <si>
    <t>Univ Calif Berkeley, Dept Phys, Berkeley, CA 94720 USA; Univ Calif Berkeley, Lawrence Berkeley Lab, Div Nucl Sci, Berkeley, CA 94720 USA</t>
  </si>
  <si>
    <t>University of California System; University of California Berkeley; United States Department of Energy (DOE); Lawrence Berkeley National Laboratory; University of California System; University of California Berkeley</t>
  </si>
  <si>
    <t>He, YD (corresponding author), Univ Calif Berkeley, Dept Phys, Berkeley, CA 94720 USA.</t>
  </si>
  <si>
    <t>JUL 27</t>
  </si>
  <si>
    <t>D14</t>
  </si>
  <si>
    <t>10.1029/98JD01643</t>
  </si>
  <si>
    <t>104BK</t>
  </si>
  <si>
    <t>WOS:000074992200012</t>
  </si>
  <si>
    <t>Rignot, EJ</t>
  </si>
  <si>
    <t>Fast recession of a West Antarctic glacier</t>
  </si>
  <si>
    <t>ICE-SHEET; RETREAT</t>
  </si>
  <si>
    <t>Satellite radar interferometry observations of Pine Island Glacier, West Antarctica, reveal that the glacier hinge-line position retreated 1.2 +/- 0.3 kilometers per year between 1992 and 1996, which in turn implies that the ice thinned by 3.5 +/- 0.9 meters per year. The fast recession of Pine Island Glacier, predicted to be a possible trigger for the disintegration of the West Antarctic Ice Sheet, is attributed to enhanced basal melting of the glacier floating tongue by warm ocean waters.</t>
  </si>
  <si>
    <t>CALTECH, Jet Prop Lab, Pasadena, CA 91109 USA</t>
  </si>
  <si>
    <t>California Institute of Technology; National Aeronautics &amp; Space Administration (NASA); NASA Jet Propulsion Laboratory (JPL)</t>
  </si>
  <si>
    <t>CALTECH, Jet Prop Lab, MS 300-235, Pasadena, CA 91109 USA.</t>
  </si>
  <si>
    <t>eric@adelie.jpl.nasa.gov</t>
  </si>
  <si>
    <t>Rignot, Eric/A-4560-2014</t>
  </si>
  <si>
    <t>Rignot, Eric/0000-0002-3366-0481</t>
  </si>
  <si>
    <t>1095-9203</t>
  </si>
  <si>
    <t>JUL 24</t>
  </si>
  <si>
    <t>10.1126/science.281.5376.549</t>
  </si>
  <si>
    <t>104KA</t>
  </si>
  <si>
    <t>WOS:000075012300037</t>
  </si>
  <si>
    <t>Bargelloni, L; Marcato, S; Patarnello, T</t>
  </si>
  <si>
    <t>Antarctic fish hemoglobins: Evidence for adaptive evolution at subzero temperature</t>
  </si>
  <si>
    <t>NUCLEOTIDE SUBSTITUTION; NONSYNONYMOUS SUBSTITUTIONS; MOLECULAR EVOLUTION; RATES; PHYLOGENIES; PATTERN; NUMBERS</t>
  </si>
  <si>
    <t>Notothenioids represent a large group of marine teleosts that are mostly endemic to the Antarctic Ocean. In this environment, the low metabolic demand and the high oxygen concentration reduce the need for hemoglobin(s) [Hb(s)]. The extreme condition is represented by the icefish (Channichthyidae, Notothenioidei), the only vertebrates that lack Hb. We obtained the nucleotide sequence coding for the beta-globin chain of the single major Hb form in six red-blooded notothenioids. These included Gymnodraco acuticeps, one of the closest species to the Hb-less icefish, which is also the only known fish having a single Hb without Bohr effect. This species shows a higher rate of nonsynonymous substitutions (K-A), in contrast with the homogeneity of synonymous substitution (K-S) rates, and K-A/K-S ratios significantly greater than one in the majority of comparisons. These results are suggestive of positive selection, diversifying the single major Hb toward specialized functions. A single Hb that is free to diversify means that its role in routine oxygen transport can be reduced in the presence of a combination of physiological, ecological, and environmental factors. Although a reduced routine function for Hb, as is apparent in G. acuticeps, might, indeed, evoke the lack of Hb in icefish, evidence of diversifying selection reported here is at variance with the hypothesis of a simple trend from a single Hb toward the Hb-less condition.</t>
  </si>
  <si>
    <t>Univ Padua, Dipartimento Biol, I-35131 Padua, Italy</t>
  </si>
  <si>
    <t>Patarnello, T (corresponding author), Univ Padua, Dipartimento Biol, Vio Ugo Bassi 58-B, I-35131 Padua, Italy.</t>
  </si>
  <si>
    <t>PATARNELLO, Tomaso/0000-0003-1794-5791</t>
  </si>
  <si>
    <t>JUL 21</t>
  </si>
  <si>
    <t>10.1073/pnas.95.15.8670</t>
  </si>
  <si>
    <t>103EA</t>
  </si>
  <si>
    <t>WOS:000075143900047</t>
  </si>
  <si>
    <t>Asakimori, K; Burnett, TH; Cherry, ML; Chevli, K; Christ, MJ; Dake, S; Derrickson, JH; Fountain, WF; Fuki, M; Gregory, JC; Hayashi, T; Holynski, R; Iwai, J; Iyono, A; Johnson, J; Kobayashi, M; Lord, J; Miyamura, O; Moon, KH; Nilsen, BS; Oda, H; Ogata, T; Olson, ED; Parnell, TA; Roberts, FE; Sengupta, K; Shiina, T; Strausz, SC; Sugitate, T; Takahashi, Y; Tominaga, T; Watts, JW; Wefel, JP; Wilczynska, B; Wilczynski, H; Wilkes, RJ; Wolter, W; Yokomi, H; Zager, E</t>
  </si>
  <si>
    <t>Cosmic-ray proton and helium spectra: Results from the JACEE experiment</t>
  </si>
  <si>
    <t>ASTROPHYSICAL JOURNAL</t>
  </si>
  <si>
    <t>acceleration of particles; balloons; ISM : cosmic rays</t>
  </si>
  <si>
    <t>PATH-LENGTH DISTRIBUTION; SHOCK ACCELERATION; EMULSION CHAMBERS; ENERGY-SPECTRA; MAXIMUM ENERGY; PROPAGATION; PRIMARIES; GALAXY</t>
  </si>
  <si>
    <t>Measurements of the cosmic-ray hydrogen and helium spectra at energies from 20 to 800 TeV are presented. The experiments were performed on a series of twelve balloon flights, including several long duration Australia to South America and Antarctic circumpolar flights. No clear evidence is seen for a spectral break. Both the hydrogen and the helium spectra are consistent with power laws over the entire energy range, with integral spectral indices 1.80 +/- 0.04 and 1.68(-0.06)(+0.04) for the protons and helium, respectively. The results are fully consistent with expectations based on supernova shock acceleration coupled with a leaky box model of propagation through the Galaxy.</t>
  </si>
  <si>
    <t>Kobe Womens Jr Coll, Kobe, Hyogo, Japan; Univ Washington, Dept Phys, Seattle, WA 98195 USA; Louisiana State Univ, Dept Phys &amp; Astron, Baton Rouge, LA 70803 USA; Univ Alabama, Coll Sci, Huntsville, AL 35899 USA; NASA, George C Marshall Space Flight Ctr, Huntsville, AL 35812 USA; Kobe Univ, Kobe, Hyogo 657, Japan; Kochi Univ, Kochi 780, Japan; Waseda Univ, Tokyo, Japan; Inst Nucl Phys, Krakow, Poland; Okayama Univ, Okayama 700, Japan; Kek Nat Lab High Energy Phys, Tsukuba, Ibaraki 305, Japan; Hiroshima Univ, Hiroshima, Japan; Inst Cosm Ray Res, Tokyo, Japan; Tezukayama Univ, Nara, Japan</t>
  </si>
  <si>
    <t>University of Washington; University of Washington Seattle; Louisiana State University System; Louisiana State University; University of Alabama System; University of Alabama Huntsville; National Aeronautics &amp; Space Administration (NASA); NASA Marshall Space Flight Center; Kobe University; Kochi University; Waseda University; Polish Academy of Sciences; Institute of Nuclear Physics - Polish Academy of Sciences; Okayama University; High Energy Accelerator Research Organization (KEK); Hiroshima University</t>
  </si>
  <si>
    <t>Asakimori, K (corresponding author), Kobe Womens Jr Coll, Kobe, Hyogo, Japan.</t>
  </si>
  <si>
    <t>Sugitate, Toru/X-1730-2019; Wilkes, Richard Jeffrey/E-6011-2013; Wilczynski, Henryk/N-7330-2018</t>
  </si>
  <si>
    <t>Wilkes, Richard Jeffrey/0000-0002-0824-8524; Wilczynski, Henryk/0000-0003-2652-9685</t>
  </si>
  <si>
    <t>5720 SOUTH WOODLAWN AVE, CHICAGO, IL 60637-1603 USA</t>
  </si>
  <si>
    <t>0004-637X</t>
  </si>
  <si>
    <t>ASTROPHYS J</t>
  </si>
  <si>
    <t>Astrophys. J.</t>
  </si>
  <si>
    <t>JUL 20</t>
  </si>
  <si>
    <t>10.1086/305882</t>
  </si>
  <si>
    <t>151WH</t>
  </si>
  <si>
    <t>WOS:000077743300024</t>
  </si>
  <si>
    <t>Etheridge, DM; Steele, LP; Francey, RJ; Langenfelds, RL</t>
  </si>
  <si>
    <t>Atmospheric methane between 1000 AD and present: Evidence of anthropogenic emissions and climatic variability</t>
  </si>
  <si>
    <t>MEDIEVAL WARM PERIOD; ANTARCTIC ICE CORE; ISOTOPIC COMPOSITION; GROWTH-RATE; POLAR ICE; NORTHERN-HEMISPHERE; DRAMATIC DECREASE; GREENLAND ICE; CH4; CO2</t>
  </si>
  <si>
    <t>Atmospheric methane mixing ratios from 1000 A.D. to present are measured in three Antarctic ice cores, two Greenland ice cores, the Antarctic firn layer, and archived air from Tasmania, Australia. The record is unified by using the same measurement procedure and calibration scale for all samples and by ensuring high age resolution and accuracy of the ice core and firn air. In this way, methane mixing ratios, growth rates, and interpolar differences are accurately determined. From 1000 to 1800 A.D. the global mean methane mixing ratio averaged 695 ppb and varied about 40 ppb, contemporaneous with climatic variations. Interpolar (N-S) differences varied between 24 and 58 ppb. The industrial period is marked by high methane growth rates from 1945 to 1990, peaking at about 17 ppb yr(-1) in 1981 and decreasing significantly since. We calculate an average total methane source of 250 Tg yr(-1) for 1000-1800 A.D:.,reaching near stabilization at about 560 Tg yr(-1) in the 1980s and 1990s. The isotopic ratio, delta(13) CH4, measured in the archived air and firn air, increased since 1978 but the rate of increase slowed in the mid-1980s. The combined CH4 and delta(13)CH(4) trends support the stabilization of the total CH4 source.</t>
  </si>
  <si>
    <t>CSIRO, Atmospher Res, Aspendale, Vic 3195, Australia</t>
  </si>
  <si>
    <t>Etheridge, DM (corresponding author), CSIRO, Atmospher Res, PMB 1, Aspendale, Vic 3195, Australia.</t>
  </si>
  <si>
    <t>dme@dar.csiro.au</t>
  </si>
  <si>
    <t>Francey, Roger J/A-2345-2012; Langenfelds, Raymond L/B-5381-2012; Steele, Paul/B-3185-2009; Etheridge, David M/B-7334-2013</t>
  </si>
  <si>
    <t>Etheridge, David/0000-0001-7970-2002</t>
  </si>
  <si>
    <t>D13</t>
  </si>
  <si>
    <t>10.1029/98JD00923</t>
  </si>
  <si>
    <t>100RB</t>
  </si>
  <si>
    <t>WOS:000074828200002</t>
  </si>
  <si>
    <t>Sugita, T; Kondo, Y; Nakajima, H; Schmidt, U; Engel, A; Oelhaf, H; Wetzel, G; Koike, M; Newman, PA</t>
  </si>
  <si>
    <t>Denitrification observed inside the Arctic vortex in February 1995</t>
  </si>
  <si>
    <t>TOTAL REACTIVE NITROGEN; POLAR STRATOSPHERIC CLOUD; INDUCED ICE PARTICLES; NITRIC-ACID; ATMOS EXPERIMENT; ANTARCTIC OZONE; NOVEMBER 1994; WATER-VAPOR; AEROSOL; JANUARY</t>
  </si>
  <si>
    <t>Balloon-borne in situ measurements of total reactive nitrogen (NO,) and nitrous oxide (N2O) were made from Kiruna (68 degrees N, 21 degrees E), Sweden on February 11, 1995. Ten hours later, N2O was again measured by an infrared spectrometer flown on another balloon launched from Kiruna. Both observations were made inside the polar vortex between 380 K (similar to 14 km) and at least 675 K (similar to 26 km). In the winter of 1994-1995, temperatures at 475 K (similar to 19 km) inside the vortex were extremely low, sometimes lower than ice frost point, especially from mid-December to mid-January. The NOgamma profiles obtained during both the ascent and descent revealed layered structures between 15 and 20 km with mixing ratios ranging from 2.7 to 9.3 parts per billion by volume (ppbv). The observed N2O profiles indicate significant downu ard transport of air due to diabatic cooling in the winter. To quantify the degree of irreversible removal of NOgamma (denitrification) between 12 and 28 km, the unperturbed values of NOgamma (i.e., NOgamma*) were estimated from the observed N2O values using the NOgamma - N2O relationship obtained at midlatitudes by the atmospheric trace molecule spectroscopy ATLAS mission and in situ aircraft and balloon-borne measurements. The largest denitrification was observed at 19 +/- 0.5 km, where the NOgamma values were lower than the NOgamma* values by similar to 10 ppbv, corresponding to a 70% removal of NOgamma In spite of the large uncertainty in NOgamma* the NO, values generally agreed well with the NOgamma* values at similar to 14 km as well as between 23 and 28 km. The relationship between NOgamma and N2O measured between 23 and 28 km agreed with that measured above 40 km at northern midlatitudes in fall, indicating that the air masses sampled at 23-28 km over Kiruna were transported from the midlatitude upper stratosphere followed by the descent inside the vortex.</t>
  </si>
  <si>
    <t>Nagoya Univ, Solar Terr Environm Lab, Aichi 4428507, Japan; Univ Karlsruhe, Forschungszentrum, Inst Meteorol &amp; Klimaforsch, D-76021 Karlsruhe, Germany; Forschungzentrum Julich, Inst Stratosphar Chem, Julich, Germany; NASA, Goddard Space Flight Ctr, Greenbelt, MD 20771 USA</t>
  </si>
  <si>
    <t>Nagoya University; Helmholtz Association; Karlsruhe Institute of Technology; National Aeronautics &amp; Space Administration (NASA); NASA Goddard Space Flight Center</t>
  </si>
  <si>
    <t>Natl Space Dev Agcy Japan, Earth Observat Res Ctr, Minato Ku, 1-9-9 Roppongi, Tokyo 1060032, Japan.</t>
  </si>
  <si>
    <t>sugita@eorc.nasda.go.jp; kondo@stelab.nagoya-u.ac.jp; hide@nies.go.jp; U.Schmidt@meteor.uni-frankfurt.de; An.Engel@meteor.uni-frankfurt.de; oelhaf@imk.fzk.de; wetzel@imk.fzk.de; newman@notus.gsfc.nasa.gov</t>
  </si>
  <si>
    <t>Sugita, Takafumi/H-6669-2018; Oelhaf, Hermann A/A-7895-2013; Nakajima, Hideaki/M-8845-2019; Wetzel, Gerald/A-7065-2013; Kondo, Yutaka/D-1459-2012; Koike, Makoto/F-4366-2011; Engel, Andreas/E-3100-2014; Newman, Paul A./D-6208-2012</t>
  </si>
  <si>
    <t>Nakajima, Hideaki/0000-0002-2742-1230; Wetzel, Gerald/0000-0002-6671-0297; Sugita, Takafumi/0000-0002-0508-7040; Engel, Andreas/0000-0003-0557-3935; Newman, Paul A./0000-0003-1139-2508</t>
  </si>
  <si>
    <t>10.1029/98JD01083</t>
  </si>
  <si>
    <t>WOS:000074828200020</t>
  </si>
  <si>
    <t>Brechtel, FJ; Kreidenweis, SM; Swan, HB</t>
  </si>
  <si>
    <t>Air mass characteristics, aerosol particle number concentrations, and number size distributions at Macquarie Island during the First Aerosol Characterization Experiment (ACE 1)</t>
  </si>
  <si>
    <t>MARINE BOUNDARY-LAYER; CONDENSATION NUCLEI; SOUTHERN-OCEAN; CAPE-GRIM; DIMETHYL SULFIDE; SULFUR-DIOXIDE; METHANESULFONATE; SULFATE; ANTARCTICA; HEMISPHERE</t>
  </si>
  <si>
    <t>During the First Aerosol Characterization Experiment (ACE 1), continuous measurements were made of the particle number size distribution (between 18 and 540 nm diameter (D-p)) and total particle number concentration (D-p &gt;3 nm and D-p &gt;12 nm) on Macquarie Island, Tasmania (54 degrees 30'S, 158 degrees 57'E, 7 m above sea level). Periodic real-time measurements of dimethyl sulfide were also made. Sampled air masses were separated into clean marine and those influenced by Tasmania or Antarctica. Observations were compared to those from a southern hemisphere midlatitude site (Cape Grim) and to sites on the Antarctic continent. It was found that the average total number concentration observed during clean marine conditions, 675 cm(-3), was about 21% higher than values observed at Cape Grim during ACE 1 and was similar to the high end of the historical range of number concentrations reported by Gras [1995] for Cape Grim during the same time of year. During both clean marine and influenced conditions, the Aitken and accumulation modes dominate the number size distribution, with a Young Aitken mode observed less often. The number size distribution between 18 and 540 nm exhibited two and three modes 75% and 25% of the time, respectively, during clean marine conditions, more consistent with previous observations at Cape Grim than with those from coastal Antarctica. The typical bimodal number distribution at Macquarie Island exhibited average modal diameters of 33 and 113 nm during clean marine conditions, corresponding to the smaller Aitken mode and larger accumulation mode, respectively. The 50 to 70 nm diameter range corresponds to the minimum in the bimodal size distribution at Macquarie Island, except for continentally influenced periods when the size distribution exhibits an Aitken mode near 50 nm and an accumulation mode near 128 nm. The Young Aitken mode appeared most often during or immediately after periods of precipitation associated with both warm and cold fronts, when the Aitken and accumulation mode number concentrations were depleted. Evidence for possible cloud processing of aerosol was found during two Antarctic influenced periods. Variability in observed aerosol characteristics was found to coincide with changes in air mass source region as indicated by back trajectories and frontal passages.</t>
  </si>
  <si>
    <t>Colorado State Univ, Dept Atmospher Sci, Ft Collins, CO 80523 USA; Australian Govt Analyt Labs, Pymble, NSW 2073, Australia</t>
  </si>
  <si>
    <t>Colorado State University; National Measurement Institute Australia - NMI</t>
  </si>
  <si>
    <t>soniak@aerosol.atmos.colostate.edu</t>
  </si>
  <si>
    <t>SWAN, Hilton B/B-1426-2013; Kreidenweis, Sonia M/E-5993-2011</t>
  </si>
  <si>
    <t>SWAN, Hilton B/0000-0002-1608-3977;</t>
  </si>
  <si>
    <t>10.1029/97JD03014</t>
  </si>
  <si>
    <t>WOS:000074828200029</t>
  </si>
  <si>
    <t>Huebert, BJ; Howell, SG; Zhuang, L; Heath, JA; Litchy, MR; Wylie, DJ; Kreidler-Moss, JL; Coppicus, S; Pfeiffer, JE</t>
  </si>
  <si>
    <t>Filter and impactor measurements of anions and cations during the First Aerosol Characterization Experiment (ACE 1)</t>
  </si>
  <si>
    <t>MARINE BOUNDARY-LAYER; SEA-SALT SULFATE; BIOGENIC SULFUR EMISSIONS; CLOUD CONDENSATION NUCLEI; TROPICAL SOUTH-ATLANTIC; DRY DEPOSITION; ANTARCTIC ICE; GAS-EXCHANGE; METHANESULFONATE; DIMETHYLSULFIDE</t>
  </si>
  <si>
    <t>During the First Aerosol Characterization Experiment (ACE 1), we measured the concentrations of aerosol non-sea-salt sulfate (NSS), methane sulfonate (MS), ammonium, sodium, nitrate, and a variety of other anions and cations from the National Center for Atmospheric Research C-130Q aircraft and the Cape Grim Baseline Air Monitoring Station. We used the data to test a variety of hypotheses concerning the sources and properties of aerosol in remote environments. We noted a large gradient in free tropospheric (FT) MS, with much more in the spring (southern) hemisphere, but FT NSS showed no latitudinal gradient. Most species had strong vertical concentration gradients, generally with more material near the biogenic sources of the marine boundary layer (MBL) than in the FT. During the Lagrangian experiments and in time series measurements at Cape Grim, we saw daytime increases of photochemically derived MS, with more constant or decreasing concentrations at night. NSS also increased in the daytime during the Lagrangian experiments. At Cape Grim, we were unable to account for the gravimetric mass of particles on impactor substrates using the measured ions, which implies that a substantial fraction of the aerosal at that location must be either organic or mineral matter. Our FT ratios of MS/NSS exhibited a strong latitudinal gradient, with the southernmost values similar to those found in Antarctic plateau snowfall.</t>
  </si>
  <si>
    <t>Univ Hawaii Manoa, Dept Oceanog, Sch Ocean &amp; Earth Sci &amp; Technol, Honolulu, HI 96822 USA</t>
  </si>
  <si>
    <t>University of Hawaii System; University of Hawaii Manoa</t>
  </si>
  <si>
    <t>Huebert, BJ (corresponding author), Univ Hawaii Manoa, Dept Oceanog, Sch Ocean &amp; Earth Sci &amp; Technol, 1000 Pope Rd, Honolulu, HI 96822 USA.</t>
  </si>
  <si>
    <t>huebert@soest.hawaii.edu</t>
  </si>
  <si>
    <t>10.1029/98JD00770</t>
  </si>
  <si>
    <t>WOS:000074828200038</t>
  </si>
  <si>
    <t>Curran, MAJ; Jones, GB; Burton, H</t>
  </si>
  <si>
    <t>Spatial distribution of dimethylsulfide and dimethylsulfoniopropionate in the Australasian sector of the Southern Ocean</t>
  </si>
  <si>
    <t>EQUATORIAL PACIFIC-OCEAN; SULFIDE PRODUCTION; SULFUR EMISSIONS; ANTARCTIC OCEANS; AQUEOUS-SOLUTION; SEA-ICE; ATMOSPHERE; PHYTOPLANKTON; COASTAL; SURFACE</t>
  </si>
  <si>
    <t>During 1991-1995, seven voyages were made to the Southern Ocean to determine the distribution of dimethylsulfide (DMS) and dimethylsulfoniopropionate (DMSP) in seawater and air in the Australasian sector (60 degrees E to 165 degrees E). Measurements of DMSP in sea ice were also made. During the summer months the Subtropical Convergence (STC) and Antarctic Convergence (AC) were identified as important source regions of these sulfur compounds. In the Seasonal Ice zone (SIZ) there were marked longitudinal differences possibly reflecting higher productivity and the extent of the sea ice in this region. Levels of DMSP in sea ice cores were consistent with this regional difference. High and variable concentrations of DMSP also occurred in the Subantarctic Zone (SAZ) (45 degrees-53 degrees S), decreasing to lower levels around 64 degrees S, close to the Antarctic Divergence (AD). Upwelling of deep water around the AD is suggested to have been responsible for the low biological activity and low DMSP levels. While there was generally a good relationship between DMSPp and biomass, there was a marked difference in the DMSPp:chlorophyll a ratio between regions and between years. DMSP was generally negatively correlated with dissolved nitrate, however, it was unclear if the level of nitrate directly affected DMSP production. DMSW levels were highest in the mixed layer, with lower, yet detectable, levels in the deeper ocean. DMSW was occasionally elevated in Antarctic Bottom Water (AABW), suggesting that ice shelf water transports this substance to deeper waters. DMSP was not found above detection limits below the mixed layer, but some evidence was found that DMSP may be transported to deeper waters, close to the Antarctic continent.</t>
  </si>
  <si>
    <t>Univ Tasmania, Antarctic Cooperat Res Ctr, Hobart, Tas 7001, Australia; Australian Antarctic Div, Kingston, Tas 7050, Australia; James Cook Univ N Queensland, Dept Chem, Townsville, Qld 4811, Australia</t>
  </si>
  <si>
    <t>University of Tasmania; Australian Antarctic Division; James Cook University</t>
  </si>
  <si>
    <t>Curran, MAJ (corresponding author), Univ Tasmania, Antarctic Cooperat Res Ctr, GPO Box 252-80, Hobart, Tas 7001, Australia.</t>
  </si>
  <si>
    <t>Jones, Graham/0000-0002-2815-6395</t>
  </si>
  <si>
    <t>10.1029/97JD03453</t>
  </si>
  <si>
    <t>WOS:000074828200051</t>
  </si>
  <si>
    <t>Jones, GB; Curran, MAJ; Swan, HB; Greene, RM; Griffiths, FB; Clementson, LA</t>
  </si>
  <si>
    <t>Influence of different water masses and biological activity on dimethylsulphide and dimethylsulphoniopropionate in the subantarctic zone of the Southern Ocean during ACE 1</t>
  </si>
  <si>
    <t>CLOUD CONDENSATION NUCLEI; EMILIANIA-HUXLEYI; COASTAL WATERS; MARINE AIR; SULFIDE; DIMETHYLSULFONIOPROPIONATE; PHYTOPLANKTON; DMSP; IRON; METHANESULFONATE</t>
  </si>
  <si>
    <t>Measurements of salinity, temperature, phytoplankton biomass and speciation, dissolved nitrate, dimethylsulfide (DMS) in seawater and air, and dimethylsulfoniopropionate (DMSP), were made in the subantarctic zone of the Southern Ocean from 40 degrees-54 degrees S, and 140 degrees-153 degrees E during the southern hemisphere marine First Aerosol Characterization Experiment (ACE 1) DMSP concentrations were highest in subtropical convergence zone (STCZ) waters, intermediate in subantarctic waters, and lowest in polar waters. DMSP appeared to decrease at frontal regions between these major water masses. In subantarctic waters, high levels of DMSP were generally associated with an increase in dinoflagellate biomass and low microzooplankton grazing rates. Lower DMSP concentrations occurred in polar waters when the diatom biomass and grazing rates were high. DMS levels measured on Southern Surveyor ranged from not detectable (nd) to 5.6 nM (mean 1.7 nM), with below average levels in subantarctic waters (mean 1.25 nM), and above average levels (mean = 1.93 nM) in polar waters. Pulses of DMS occurred as Southern Surveyor traveled south into polar waters, with a large pulse (mean = 2.3 nM) highlighted as the vessel traveled back into subantarctic wafers (46 degrees-47 degrees S, 148 degrees-151 degrees E) in early December. By using the dissolved DMSP (DMSPd) to DMS ratio as an index of the bacterial conversion of DMSPd to DMS some evidence was found that, in polar waters, increased microzooplankton (MZP) grazing in diatom dominated waters, may lead to above average concentrations of DMS. This does not appear to be the case when the biomass was dominated by dinoflagellates in subantarctic waters.</t>
  </si>
  <si>
    <t>CSIRO, Div Marine Res, Hobart, Tas 7000, Australia; Univ Tasmania, Antarctic Cooperat Res Ctr, Hobart, Tas 7001, Australia; Univ Tasmania, Antarctic Div, Hobart, Tas 7001, Australia; US EPA, Gulf Ecol Div, Gulf Breeze, FL USA; Australian Govt Analyt Labs, Sydney, NSW 2073, Australia; Texas A&amp;M Univ, Dept Oceanog, College Stn, TX 77843 USA; James Cook Univ N Queensland, Dept Chem, Townsville, Qld 4810, Australia</t>
  </si>
  <si>
    <t>Commonwealth Scientific &amp; Industrial Research Organisation (CSIRO); University of Tasmania; Australian Antarctic Division; University of Tasmania; United States Environmental Protection Agency; National Measurement Institute Australia - NMI; Texas A&amp;M University System; Texas A&amp;M University College Station; James Cook University</t>
  </si>
  <si>
    <t>James Cook Univ N Queensland, Dept Chem, Townsville, Qld 4810, Australia.</t>
  </si>
  <si>
    <t>SWAN, Hilton B/B-1426-2013; Clementson, Lesley A/M-6905-2013</t>
  </si>
  <si>
    <t>SWAN, Hilton B/0000-0002-1608-3977; Jones, Graham/0000-0002-2815-6395</t>
  </si>
  <si>
    <t>10.1029/98JD01200</t>
  </si>
  <si>
    <t>WOS:000074828200052</t>
  </si>
  <si>
    <t>Sun, K; Camardella, L; Di Prisco, G; Hervé, G</t>
  </si>
  <si>
    <t>Properties of aspartate transcarbamylase from TAD1, a psychrophilic bacterial strain isolated from Antarctica</t>
  </si>
  <si>
    <t>FEMS MICROBIOLOGY LETTERS</t>
  </si>
  <si>
    <t>psychrophile; cold adaptation; aspartate transcarbamylase; Antarctic microorganism</t>
  </si>
  <si>
    <t>PYRIMIDINE PATHWAY ENZYMES; ESCHERICHIA-COLI; REGULATORY PROPERTIES; SACCHAROMYCES-CEREVISIAE; INSITU BEHAVIOR; BIOSYNTHESIS; SUBUNITS; LIFE; CTP; UTP</t>
  </si>
  <si>
    <t>TAD1 is a psychrophilic strain isolated from continental frozen water in Antarctica. Study of aspartate transcarbamylase in the bacterium shows an impressive activity of this enzyme at low temperature. Ar 0 degrees C, its activity is up to 26% of its maximal activity observed at 30 degrees C. In comparison with the Escherichia coli enzyme, some of its kinetic properties suggest that this high activity at low temperature results from an increased catalytic efficiency. This property might result from a discrete modification localized at the catalytic site, since this psychrophilic enzyme is as stable as its Escherichia coli homologue at high temperature. (C) 1998 Federation of European Microbiological Societies. Published by Elsevier Science B.V. All rights reserved.</t>
  </si>
  <si>
    <t>Univ Paris 06, Lab Biochim Signaux Regulateurs Cellulaires &amp; Mol, CNRS, UMR 7631, F-75006 Paris, France; CNR, Ist Biochim Prot &amp; Enzimol, I-80125 Naples, Italy</t>
  </si>
  <si>
    <t>Centre National de la Recherche Scientifique (CNRS); Sorbonne Universite; Consiglio Nazionale delle Ricerche (CNR); Istituto di Biochimica delle Proteine (IBP-CNR)</t>
  </si>
  <si>
    <t>Univ Paris 06, Lab Biochim Signaux Regulateurs Cellulaires &amp; Mol, CNRS, UMR 7631, 96 Blvd Raspail, F-75006 Paris, France.</t>
  </si>
  <si>
    <t>gherve@ccr.jussieu.fr</t>
  </si>
  <si>
    <t>0378-1097</t>
  </si>
  <si>
    <t>1574-6968</t>
  </si>
  <si>
    <t>FEMS MICROBIOL LETT</t>
  </si>
  <si>
    <t>FEMS Microbiol. Lett.</t>
  </si>
  <si>
    <t>JUL 15</t>
  </si>
  <si>
    <t>10.1111/j.1574-6968.1998.tb13112.x</t>
  </si>
  <si>
    <t>100XZ</t>
  </si>
  <si>
    <t>WOS:000074841800022</t>
  </si>
  <si>
    <t>Dudeney, JR; Rodger, AS; Freeman, MP; Pickett, J; Scudder, J; Sofko, G; Lester, M</t>
  </si>
  <si>
    <t>The nightside ionospheric response to IMF by changes</t>
  </si>
  <si>
    <t>INTERPLANETARY MAGNETIC-FIELD; HARANG DISCONTINUITY; POLAR SPACECRAFT; AURORAL OVAL; Y-COMPONENT; CONVECTION; INSTRUMENT; TIME</t>
  </si>
  <si>
    <t>A sharp latitudinal gradient in the Doppler spectral width is often observed in the nightside data from the SuperDARN HF radars. We use an excellent conjunction between the Halley HF radar and the POLAR satellite to demonstrate that this gradient is associated with the boundary between the central plasma sheet and boundary layer plasma precipitation. We then exploit this identification to examine the CPS/BPS response simultaneously near the dawn, dusk and midnight, to a significant change of IMF By during a period when the magnetosphere is otherwise in a quiescent state. We find that the direction of the boundary motions are consistent with those previously determined by Holzworth and Meng, [1984]. In the morning sector, the magnitude is consistent with previous observations but in the evening sector the displacement is about 3 times greater than expected. Also the response appears to be in the order of minutes near dawn and dusk, faster than previously reported responses to IMF changes in this region.</t>
  </si>
  <si>
    <t>British Antarctic Survey, Nat Environm Res Council, Cambridge CB3 0ET, England; Univ Iowa, Dept Phys &amp; Astron, Iowa City, IA 52242 USA; Univ Saskatchewan, Dept Phys, Saskatoon, SK, Canada; Univ Leicester, Leicester LE1 7RE, Leics, England</t>
  </si>
  <si>
    <t>UK Research &amp; Innovation (UKRI); Natural Environment Research Council (NERC); NERC British Antarctic Survey; University of Iowa; University of Saskatchewan; University of Leicester</t>
  </si>
  <si>
    <t>Dudeney, JR (corresponding author), British Antarctic Survey, Nat Environm Res Council, Madingley Rd, Cambridge CB3 0ET, England.</t>
  </si>
  <si>
    <t>Freeman, Mervyn/E-5687-2019</t>
  </si>
  <si>
    <t>10.1029/98GL01413</t>
  </si>
  <si>
    <t>101UJ</t>
  </si>
  <si>
    <t>WOS:000074886300036</t>
  </si>
  <si>
    <t>Crosta, X; Pichon, JJ; Burckle, LH</t>
  </si>
  <si>
    <t>Reappraisal of Antarctic seasonal sea-ice at the Last Glacial Maximum</t>
  </si>
  <si>
    <t>SOUTHERN-OCEAN</t>
  </si>
  <si>
    <t>We used modern analog technique applied to Antarctic diatoms to quantitatively reconstruct seasonal sea-ice extent at the Last Glacial Maximum. Winter maximum sea-ice limit occurred around 48 degrees S in the Atlantic and western Indian sectors, around 55 degrees S in the eastern Indian and western Pacific sectors, and around 58-60 degrees S in the eastern Pacific sector of the Southern Ocean. Summer maximum sea-ice extents during the last ice age and today are similar, which contradicts CLIMAP's findings. This implies a reduced summer albedo feedback of the Southern Hemisphere and a greater transfer of heat and moisture from the ocean to the atmosphere than shown by previous qualitative studies.</t>
  </si>
  <si>
    <t>Univ Bordeaux 1, Dept Geol &amp; Oceanog, UMR CNRS 5805, F-33405 Talence, France; Columbia Univ, Lamont Doherty Earth Observ, Palisades, NY 10964 USA</t>
  </si>
  <si>
    <t>Universite de Bordeaux; Centre National de la Recherche Scientifique (CNRS); CNRS - National Institute for Earth Sciences &amp; Astronomy (INSU); Columbia University</t>
  </si>
  <si>
    <t>Univ Bordeaux 1, Dept Geol &amp; Oceanog, UMR CNRS 5805, Ave Fac, F-33405 Talence, France.</t>
  </si>
  <si>
    <t>crosta@geocean.u-bordeaux.fr; pichon@geocean.u-bordeaux.fr; burckle@ldeo.columbia.edu</t>
  </si>
  <si>
    <t>10.1029/98GL02012</t>
  </si>
  <si>
    <t>WOS:000074886300062</t>
  </si>
  <si>
    <t>Arrigo, KR; Worthen, D; Schnell, A; Lizotte, MP</t>
  </si>
  <si>
    <t>Primary production in Southern Ocean waters</t>
  </si>
  <si>
    <t>ANTARCTIC PHYTOPLANKTON; ICE EDGE; SEA; IRON; PHOTOSYNTHESIS; GROWTH; ZONE; DISTRIBUTIONS; CHLOROPHYLL; TEMPERATURE</t>
  </si>
  <si>
    <t>The Southern Ocean forms a link between major ocean basins, is the site of deep and intermediate water ventilation, and is one of the few areas where macronutrients are underutilized by phytoplankton. Paradoxically, prior estimates of annual primary production are insufficient to support the Antarctic food web. Here we present results from a primary production algorithm based upon monthly climatological phytoplankton pigment concentrations from the coastal zone color scanner (CZCS), Phytoplankton production was forced using monthly temperature profiles and a radiative transfer model that computed changes in photosynthetically usable radiation at each CZCS pixel location. Average daily productivity (g C m(-2) d(-1)) and total monthly production (Tg C month(-1)) were calculated for each of five geographic sectors (defined by longitude) and three ecological provinces (defined by sea ice coverage and bathymetry as the pelagic province, the marginal ice zone, and the shelf). Annual primary production in the Southern Ocean (south of 50 degrees S) was calculated to be 4414 Tg C yr(-1), 4-5 times higher than previous estimates made from in situ data. Primary production was greatest in the month of December (816 Tg C month(-1)) and in the pelagic province (contributing 88.6% of the annual primary production). Because of their small size the marginal ice zone (MIZ) and the shelf contributed only 9.5% and 1.8%, respectively, despite exhibiting higher daily production rates. The Ross Sea was the most productive region, accounting for 28% of annual production. The fourfold increase in the estimate of primary production for the Southern Ocean likely makes the notion of an Antarctic paradox (primary production insufficient to support the populations of Southern Ocean grazers, including krill, copepods, microzooplankton, etc.) obsolete.</t>
  </si>
  <si>
    <t>NASA, Goddard Space Flight Ctr, Oceans &amp; Ice Branch, Greenbelt, MD 20771 USA; Univ Wisconsin, Dept Biol &amp; Microbiol, Oshkosh, WI 54901 USA; Sci Syst &amp; Applicat Inc, Lanham, MD 20706 USA</t>
  </si>
  <si>
    <t>National Aeronautics &amp; Space Administration (NASA); NASA Goddard Space Flight Center; University of Wisconsin System; Science Systems and Applications Inc</t>
  </si>
  <si>
    <t>Arrigo, KR (corresponding author), NASA, Goddard Space Flight Ctr, Oceans &amp; Ice Branch, Code 971-0, Greenbelt, MD 20771 USA.</t>
  </si>
  <si>
    <t>C8</t>
  </si>
  <si>
    <t>10.1029/98JC00930</t>
  </si>
  <si>
    <t>ZZ547</t>
  </si>
  <si>
    <t>WOS:000074741000005</t>
  </si>
  <si>
    <t>Smythe-Wright, D; Boswell, S</t>
  </si>
  <si>
    <t>Abyssal circulation in the Argentine Basin</t>
  </si>
  <si>
    <t>Maurice Ewing Symposium on Applications of Trace Substance Measurements to Oceanographic Problems</t>
  </si>
  <si>
    <t>OCT 16-20, 1995</t>
  </si>
  <si>
    <t>ORACLE, AZ</t>
  </si>
  <si>
    <t>ANTARCTIC CIRCUMPOLAR CURRENT; WESTERN SOUTH-ATLANTIC; WATER; OCEAN; PATTERNS; FRONTS; FLOW</t>
  </si>
  <si>
    <t>The abyssal water mass in the Argentine Basin, generically called Antarctic Bottom Water, is of southern origin. Its source is primarily Weddell Sea Deep Water (with characteristics of -0.7 degrees to 0.2 degrees C and salinity 34.65-34.68), which flows out of the Weddell gyre into the South Sandwich trench and continues north beyond the Falklands Escarpment into the Argentine Basin. The abyssal water cannot have originated in the Antarctic Circumpolar Current (ACC) since waters colder than 0.2 degrees C are not associated with the ACC in the Drake Passage. Once the abyssal water has entered the Argentine Basin through gaps in the Falklands Escarpment or around the Islas Orcadas Rise it is generally assumed that it turns sharply to the west, in accordance with the Stommel nod Arons [1960] theory of ocean circulation, and flows along the base of the Falklands Escarpment before flowing north along the continental slope as a deep western boundary current off South America. Results from the World Ocean Circulation Experiment (WOCE) All section, however, suggest that the newest most CFC-rich water occurs on the eastern side of the Argentine Basin rather than the west. We therefore conclude that in addition to the western boundary current there is a more dominant anticlockwise circulation around the Zapiola Rise, which is likely related to the migratory pattern of the ACC.</t>
  </si>
  <si>
    <t>Southampton Oceanog Ctr, George Deacon Div Ocean Proc, Southampton SO14 3ZH, Hants, England</t>
  </si>
  <si>
    <t>Southampton Oceanog Ctr, George Deacon Div Ocean Proc, Room 256-39,Empress Dock, Southampton SO14 3ZH, Hants, England.</t>
  </si>
  <si>
    <t>dsw@mail.soc.soton.ac.uk</t>
  </si>
  <si>
    <t>10.1029/98JC00142</t>
  </si>
  <si>
    <t>WOS:000074741000022</t>
  </si>
  <si>
    <t>Dyment, J; Arkani-Hamed, J</t>
  </si>
  <si>
    <t>Contribution of lithospheric remanent magnetization to satellite magnetic anomalies over the world's oceans</t>
  </si>
  <si>
    <t>AUSTRALIAN-ANTARCTIC DISCORDANCE; DRILLING PROGRAM HOLE-735B; CRETACEOUS QUIET ZONE; MAGSAT DATA; PALEOMAGNETIC CONSEQUENCES; EXTENSIONAL REGIMES; TECTONIC ROTATIONS; OPAQUE MINERALOGY; SUBDUCTION ZONES; GLOBAL VECTOR</t>
  </si>
  <si>
    <t>Regional studies have shown that remanent magnetization of the Cretaceous quiet zones (CQZs), created during the long period of geomagnetic normal polarity at 118-84 Ma, produce well-defined magnetic anomalies at satellite altitudes. We investigate the effects of the remanent magnetization of the oceanic lithosphere on satellite magnetic anomalies on a global scale. We consider entire oceanic areas because oceanic Lithosphere formed during periods other than CQZ, but with a predominant polarity, also have appreciable contributions to the satellite anomalies. The magnetic anomalies of the world's oceans are calculated from a distribution of vertically integrated remanent magnetization that is computed using age map, plate relative motions, and the apparent polar wander path of Africa. Three magnetization models are examined: thermoremanent magnetization confined to extrusive layer 2A, and thermoviscous remanent magnetization of the crust and uppermost mantle down to a maximum depth of 12 km or 30 km. Although all; models lead to rather similar anomaly distributions, the amount of magnetization required suggests the need for deeper sources. All models produce the satellite anomalies associated with the CQZ in the North Atlantic and parts of the Indian and Pacific Oceans, with slight differences in location, depending on the models. Low-amplitude observed anomalies associated with areas created at fast and intermediate spreading rates in the Indian and Pacific Oceans are successfully modeled. A major difference between models and observation is the north-south elongated model anomalies associated, for instance, with the CQZs in the South Atlantic and the fast spreading East Pacific Rise. These elongated anomalies are systematically absent on the observed map, probably because they were removed by along-track filtering in the early stages of processing the satellite data. A careful comparison of the model anomalies with observation favors model with thermoviscous magnetization down to 12 Irm and saturation magnetizations of 4, 0, 1, and 0.6 A/m for the extrusive basalts, intrusive basalts, gabbros, and peridotites, respectively.</t>
  </si>
  <si>
    <t>Univ Bretagne Occidentale, Inst Univ Europeen Mer, CNRS, UMR Domaines Ocean, F-29280 Plouzane, France; McGill Univ, Montreal, PQ H3A 2A7, Canada</t>
  </si>
  <si>
    <t>Universite de Bretagne Occidentale; Institut Universitaire Europeen de la Mer (IUEM); Centre National de la Recherche Scientifique (CNRS); McGill University</t>
  </si>
  <si>
    <t>Univ Bretagne Occidentale, Inst Univ Europeen Mer, CNRS, UMR Domaines Ocean, Technopole Brest Iroise,Pl Nicolas Copernic, F-29280 Plouzane, France.</t>
  </si>
  <si>
    <t>jerome@univ-brest.fr; jafar@planet.epa.mcgill.ca</t>
  </si>
  <si>
    <t>Dyment, Jérôme/A-6788-2011</t>
  </si>
  <si>
    <t>JUL 10</t>
  </si>
  <si>
    <t>B7</t>
  </si>
  <si>
    <t>10.1029/97JB03574</t>
  </si>
  <si>
    <t>ZZ354</t>
  </si>
  <si>
    <t>WOS:000074721000024</t>
  </si>
  <si>
    <t>Spiess Ridge: An axial high on the slow spreading Southwest Indian Ridge</t>
  </si>
  <si>
    <t>MID-ATLANTIC RIDGE; BOUVET TRIPLE JUNCTION; LAYER 2A THICKNESS; JUAN-DE-FUCA; MANTLE PLUMES; SOUTHERN-OCEAN; MAGNETIC-STRUCTURE; CRUSTAL THICKNESS; MIDOCEAN RIDGES; PLATE MOTIONS</t>
  </si>
  <si>
    <t>We report recent mapping of Spiess Ridge with the Hawaii-MR1 sidescan sonar. Spiess Ridge is an unusual elongate 90 by 50 km volcanic feature on the slow spreading Southwest Indian Ridge near the Bouvet hotspot. The northwest half of the ridge has a narrow similar to 7-km neovolcanic zone in MR1 sonar images and a simple magnetic anomaly sequence including possible anomalies C1n and C2n. In contrast, the southeast half shows extrusive volcanism over &gt; 40 km with distributed eruption sites, a broadened central magnetic anomaly with no anomaly C2n, and a volcanic ridge radiating from the summit of Spiess Ridge, oblique to the spreading orthogonal trend. The images show no evidence for large-offset normal faults or an axial rift valley typical of slow spreading ridges. Overall, Spiess Ridge has an appearance very unlike that of either fast or slow spreading ridges and more transitional between a spreading ridge and a seamount. We compare the morphology of Spiess Ridge to other large volcanic structures in oceanic rifts. Spiess Ridge and Bouvet Island represent localized zones of excess melting along the Southwest Indian Ridge and we discuss their origin in the light of current ideas on ridge-hotspot interaction.</t>
  </si>
  <si>
    <t>Univ Durham, Dept Geol Sci, Durham DH1 3LE, England; Univ Oxford, Dept Earth Sci, Oxford OX1 3PR, England; British Antarctic Survey, Cambridge CB3 0ET, England</t>
  </si>
  <si>
    <t>Durham University; University of Oxford; UK Research &amp; Innovation (UKRI); Natural Environment Research Council (NERC); NERC British Antarctic Survey</t>
  </si>
  <si>
    <t>Univ Durham, Dept Geol Sci, Durham DH1 3LE, England.</t>
  </si>
  <si>
    <t>neilm@earth.ox.ac.uk; ral@pcmail.nbs.ac.uk</t>
  </si>
  <si>
    <t>Livermore, Roy/M-1566-2019; Mitchell, Neil/B-9807-2008</t>
  </si>
  <si>
    <t>Mitchell, Neil/0000-0002-6483-2450</t>
  </si>
  <si>
    <t>10.1029/98JB00601</t>
  </si>
  <si>
    <t>WOS:000074721000026</t>
  </si>
  <si>
    <t>Rohling, EJ; Fenton, M; Jorissen, FJ; Bertrand, P; Ganssen, G; Caulet, JP</t>
  </si>
  <si>
    <t>Magnitudes of sea-level lowstands of the past 500,000 years</t>
  </si>
  <si>
    <t>OXYGEN ISOTOPES; SUMBA ISLAND; RED-SEA; RECONSTRUCTION; INDONESIA</t>
  </si>
  <si>
    <t>Existing techniques for estimating natural fluctuations of sea level and global ice-volume from the recent geological past exploit fossil coral-reef terraces or oxygen-isotope records from benthic foraminifera. Fossil reefs reveal the magnitude of sea-level peaks (highstands) of the past million years, but fail to produce significant values for minima (lowstands) before the Last Glacial Maximum (LGM) about 20,000 years ago, a time at which sea level was about 120 m lower than it is today(1-4). The isotope method provides a continuous sea-level record for the past 140,000 years (ref. 5) (calibrated with fossil-reef data(6)), but the realistic uncertainty in the sea-level estimates is around +/- 20 m. Here we present improved lowstand estimates - extending the record back to 500,000 years before present - using an independent method based on combining evidence of extreme high-salinity conditions in the glacial Red Sea with a simple hydraulic control model of water flow through the Strait of Bab-el-Mandab, which links the Red Sea to the open ocean. We find that the world can glaciate more intensely than during the LGM by up to an additional 20-m lowering of global sea-level. Such a 20-m difference is equivalent to a change in global ice-volume of the order of today's Greenland and West Antarctic ice-sheets.</t>
  </si>
  <si>
    <t>Univ Southampton, Dept Oceanog, Southampton Oceanog Ctr, Southampton SO14 3ZH, Hants, England; Univ Bordeaux 1, Dept Geol &amp; Oceanog, CNRS, URA 197, F-33405 Talence, France; Free Univ Amsterdam, Dept Earth Sci, NL-1081 HV Amsterdam, Netherlands; Natl Museum Nat Hist, Geol Lab, CNRS, URA 723, F-75005 Paris, France</t>
  </si>
  <si>
    <t>NERC National Oceanography Centre; University of Southampton; Centre National de la Recherche Scientifique (CNRS); Universite de Bordeaux; Vrije Universiteit Amsterdam; Centre National de la Recherche Scientifique (CNRS); Museum National d'Histoire Naturelle (MNHN)</t>
  </si>
  <si>
    <t>Rohling, EJ (corresponding author), Univ Southampton, Dept Oceanog, Southampton Oceanog Ctr, Southampton SO14 3ZH, Hants, England.</t>
  </si>
  <si>
    <t>E.Rohling@soc.soton.ac.uk</t>
  </si>
  <si>
    <t>Rohling, Eelco J/B-9736-2008; Jorissen, Frans J./D-2392-2009</t>
  </si>
  <si>
    <t>Rohling, Eelco J/0000-0001-5349-2158; Jorissen, Frans/0000-0002-9325-6085</t>
  </si>
  <si>
    <t>JUL 9</t>
  </si>
  <si>
    <t>10.1038/28134</t>
  </si>
  <si>
    <t>ZZ203</t>
  </si>
  <si>
    <t>WOS:000074705900048</t>
  </si>
  <si>
    <t>Kerr, RA</t>
  </si>
  <si>
    <t>Global change - Signs of past collapse beneath Antarctic ice</t>
  </si>
  <si>
    <t>JUL 3</t>
  </si>
  <si>
    <t>10.1126/science.281.5373.17</t>
  </si>
  <si>
    <t>ZZ009</t>
  </si>
  <si>
    <t>WOS:000074685800003</t>
  </si>
  <si>
    <t>Scherer, RP; Aldahan, A; Tulaczyk, S; Possnert, G; Engelhardt, H; Kamb, B</t>
  </si>
  <si>
    <t>Pleistocene collapse of the West Antarctic ice sheet</t>
  </si>
  <si>
    <t>STREAM-B; BENEATH; DEPOSITS; ISLAND; EVENTS; SHELF; SEA</t>
  </si>
  <si>
    <t>Some glacial sediment samples recovered from beneath the West Antarctic ice sheet at ice stream B contain Quaternary diatoms and up to 10(8) atoms of beryllium-10 per gram. Other samples contain no Quaternary diatoms and only background levels of beryllium-10 (less than 10(6) atoms per gram). The occurrence of young diatoms and high concentrations of beryllium-10 beneath grounded ice indicates that the Ross Embayment was an open marine environment after a late Pleistocene collapse of the marine ice sheet.</t>
  </si>
  <si>
    <t>Uppsala Univ, Dept Earth Sci, S-75236 Uppsala, Sweden; CALTECH, Dept Geol &amp; Planetary Sci, Pasadena, CA 91125 USA; Uppsala Univ, Angstrom Lab, Tandem Lab, Uppsala, Sweden</t>
  </si>
  <si>
    <t>Uppsala University; California Institute of Technology; Uppsala University</t>
  </si>
  <si>
    <t>Scherer, RP (corresponding author), Uppsala Univ, Dept Earth Sci, Villavagen 16, S-75236 Uppsala, Sweden.</t>
  </si>
  <si>
    <t>reed.scherer@natgeog.uu.se</t>
  </si>
  <si>
    <t>10.1126/science.281.5373.82</t>
  </si>
  <si>
    <t>WOS:000074685800041</t>
  </si>
  <si>
    <t>Bell, RE; Blankenship, DD; Finn, CA; Morse, DL; Scambos, TA; Brozena, JM; Hodge, SM</t>
  </si>
  <si>
    <t>Influence of subglacial geology on the onset of a West Antarctic ice stream from aerogeophysical observations</t>
  </si>
  <si>
    <t>SHEET; OSCILLATIONS</t>
  </si>
  <si>
    <t>Marine ice-sheet collapse can contribute to rapid sea-level rise(1) Today, the West Antarctic Ice Sheet contains an amount of ice equivalent to approximately six metres of sea-level rise, but most of the ice is in the slowly moving interior reservoir. A relatively small fraction of the ice sheet comprises several rapidly flowing ice streams which drain the ice to the sea. The evolution of this drainage system almost certainly governs the process of ice-sheet collapse(2-5). The thick and slow-moving interior ice reservoir is generally fixed to the underlying bedrock while the ice streams glide over lubricated beds at velocities of up to several hundred metres per year. The source of the basal lubricant-a water-saturated till(6,7) overlain by a water systems(8)-may be linked to the underlying geology. The West Antarctic Ice Sheet rests over a geologically complex region characterized by thin crust, high heat flows, active volcanism and sedimentary basins(9-16). Here we use aerogeophysical measurements to constrain the geological setting of the onset of an active West Antarctic ice stream. The onset coincides with a sediment-filled basin incised by a steep-sided valley. This observation supports the suggestion(5,17) that ice-stream dynamics-and therefore the response of the West Antarctice Ice Sheet to changes in climate-are strongly modulated by the underlying geology.</t>
  </si>
  <si>
    <t>Columbia Univ, Lamont Doherty Earth Observ, Palisades, NY 10964 USA; Univ Texas, Inst Geophys, Austin, TX 78759 USA; US Geol Survey, Denver, CO 80225 USA; Natl Snow &amp; Ice Data Ctr, Boulder, CO 80309 USA; USN, Res Lab, Washington, DC 20375 USA; US Geol Survey, Tacoma, WA 98406 USA</t>
  </si>
  <si>
    <t>Columbia University; University of Texas System; University of Texas Austin; United States Department of the Interior; United States Geological Survey; United States Department of Defense; United States Navy; Naval Research Laboratory; United States Department of the Interior; United States Geological Survey</t>
  </si>
  <si>
    <t>Columbia Univ, Lamont Doherty Earth Observ, Palisades, NY 10964 USA.</t>
  </si>
  <si>
    <t>robinb@ldeo.columbia.edu</t>
  </si>
  <si>
    <t>Finn, Carol A/HKN-9277-2023; Blankenship, Donald D./G-5935-2010; Scambos, Ted A/B-1856-2009</t>
  </si>
  <si>
    <t>Finn, Carol A/0000-0002-6178-0405; SCAMBOS, Ted A./0000-0003-4268-6322</t>
  </si>
  <si>
    <t>NATURE PUBLISHING GROUP</t>
  </si>
  <si>
    <t>MACMILLAN BUILDING, 4 CRINAN ST, LONDON N1 9XW, ENGLAND</t>
  </si>
  <si>
    <t>1476-4687</t>
  </si>
  <si>
    <t>JUL 2</t>
  </si>
  <si>
    <t>10.1038/27883</t>
  </si>
  <si>
    <t>ZY030</t>
  </si>
  <si>
    <t>WOS:000074579600046</t>
  </si>
  <si>
    <t>Anandakrishnan, S; Blankenship, DD; Alley, RB; Stoffa, PL</t>
  </si>
  <si>
    <t>Influence of subglacial geology on the position of a West Antarctic ice stream from seismic observations</t>
  </si>
  <si>
    <t>BENEATH; DEFORMATION; REVEAL; SHEET; FLOW</t>
  </si>
  <si>
    <t>Ice streams drain much of the interior West Antarctic Ice Sheet and buffer the main ice reservoir from oceanic influences(1,2). The slow-flowing interior feeds the floating Ross Ice Shelf with ice via fast-flowing ice streams' that are believed to modulate sea-level change through their control of inland ice storage. Understanding ice-stream behaviour, and predicting the response to climate change(4), requires a better knowledge of the subglacial geology(5,6). It is known that a thawed ice-bed and high-pressure basal water are necessary, but not sufficient, conditions to cause ice streaming(7,8). Moreover, it has been hypothesized that a soft sedimentary bed is also required, because of its intrinsic low frictional resistance to flow(9), and owing to its high erodibility so as to generate till that can deform and lubricate ice motion(10,11), or to bury rough features and smooth the bed for sliding. Here we use seismic observations to provide evidence that one margin of the upglacier part of an ice stream is directly above the boundary of a basin with such sedimentary fill. The ice stream is within the basin and the ice outside the basin is slow-flowing. The basin fill presents an order-of-magnitude lower frictional resistance to ice flow than the subglacial material outside the basin. We conclude that the ice stream position is dependent on subglacial geology.</t>
  </si>
  <si>
    <t>Penn State Univ, Ctr Earth Syst Sci, University Pk, PA 16802 USA; Penn State Univ, Dept Geosci, University Pk, PA 16802 USA; Univ Texas, Inst Geophys, Austin, TX 78759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</si>
  <si>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Texas System; University of Texas Austin</t>
  </si>
  <si>
    <t>Anandakrishnan, S (corresponding author), Penn State Univ, Ctr Earth Syst Sci, University Pk, PA 16802 USA.</t>
  </si>
  <si>
    <t>Anandakrishnan, Sridhar/JCN-5026-2023; Stoffa, Paul L/C-4980-2008; Blankenship, Donald D./G-5935-2010</t>
  </si>
  <si>
    <t>10.1038/27889</t>
  </si>
  <si>
    <t>WOS:000074579600047</t>
  </si>
  <si>
    <t>Abreu, VS; Anderson, JB</t>
  </si>
  <si>
    <t>Glacial eustasy during the Cenozoic: Sequence stratigraphic implications</t>
  </si>
  <si>
    <t>AAPG BULLETIN-AMERICAN ASSOCIATION OF PETROLEUM GEOLOGISTS</t>
  </si>
  <si>
    <t>PALEOCENE-EOCENE BOUNDARY; DEEP-OCEAN CIRCULATION; SEA-LEVEL; STABLE ISOTOPE; ROSS EMBAYMENT; SOUTHERN-OCEAN; PACIFIC-OCEAN; ICE-VOLUME; ANTARCTICA; RECORD</t>
  </si>
  <si>
    <t>A newly constructed composite oxygen isotope record is a proxy for eustasy that extends back to the Cretaceous-Tertiary boundary and provides an independent test of sequence stratigraphic-based eustatic curves. The isotope record shows several eustatic episodes that are consistent with the geological record of ice-sheet evolution. The first evidence for the existence of an ice sheet in East Antarctica occurs near the lower-middle Eocene boundary (base of the Lutetian stage). There is no evidence for a large ice sheet on Antarctica prior to this time; however, strata of this age are lacking over most of the continent. The isotope curve also indicates that the ice sheet experienced phases of growth during the late Eocene and middle Oligocene, followed by a decrease in volume in the early Miocene. The Ross Sea stratigraphic record indicates initial evolution of the West Antarctica ice sheet during the early Miocene. By the middle Miocene, the ice sheet spread across the Ross Sea, Weddell Sea, and Antarctic Peninsula continental shelves.The Pliocene-Pleistocene record of glaciation in Antarctica includes numerous glacial erosion surfaces on the continental shelf, indicating repeated advance and retreat of both East and West Antarctica ice sheets. These volume changes in the Antarctica ice sheet were in response to the rise and fall of sea level caused by expanding and contracting Northern Hemisphere ice sheets. There is a reasonable correlation between eustatic curves derived from sequence stratigraphic studies and the composite oxygen isotope record since the middle Eocene. This correlation indicates that glacial eustasy has been the principal factor regulating stratal stacking patterns on a global scale since the middle Eocene.</t>
  </si>
  <si>
    <t>Rice Univ, Dept Geol &amp; Geophys, Houston, TX 77005 USA</t>
  </si>
  <si>
    <t>Rice University</t>
  </si>
  <si>
    <t>Abreu, VS (corresponding author), Rice Univ, Dept Geol &amp; Geophys, Houston, TX 77005 USA.</t>
  </si>
  <si>
    <t>Anderson, John/B-1011-2012</t>
  </si>
  <si>
    <t>AMER ASSOC PETROLEUM GEOLOGIST</t>
  </si>
  <si>
    <t>1444 S BOULDER AVE, PO BOX 979, TULSA, OK 74101 USA</t>
  </si>
  <si>
    <t>0149-1423</t>
  </si>
  <si>
    <t>AAPG BULL</t>
  </si>
  <si>
    <t>AAPG Bull.-Am. Assoc. Petr. Geol.</t>
  </si>
  <si>
    <t>JUL</t>
  </si>
  <si>
    <t>ZZ409</t>
  </si>
  <si>
    <t>WOS:000074726500006</t>
  </si>
  <si>
    <t>Roberts, JT</t>
  </si>
  <si>
    <t>Chemistry at the surfaces of ice and sulfuric acid: Toward an understanding of adsorption at molecular solids</t>
  </si>
  <si>
    <t>ACCOUNTS OF CHEMICAL RESEARCH</t>
  </si>
  <si>
    <t>ANTARCTIC OZONE DEPLETION; AMORPHOUS ICE; STRATOSPHERIC CLOUDS; HYDROGEN-CHLORIDE; ULTRAHIGH-VACUUM; CRYSTALLINE ICE; HCL; WATER; H2O; TRIHYDRATE</t>
  </si>
  <si>
    <t>Univ Minnesota, Dept Chem, Minneapolis, MN 55455 USA</t>
  </si>
  <si>
    <t>University of Minnesota System; University of Minnesota Twin Cities</t>
  </si>
  <si>
    <t>Roberts, JT (corresponding author), Univ Minnesota, Dept Chem, 207 Pleasant St SE, Minneapolis, MN 55455 USA.</t>
  </si>
  <si>
    <t>roberts@chem.umn.edu</t>
  </si>
  <si>
    <t>0001-4842</t>
  </si>
  <si>
    <t>ACCOUNTS CHEM RES</t>
  </si>
  <si>
    <t>Accounts Chem. Res.</t>
  </si>
  <si>
    <t>10.1021/ar950205q</t>
  </si>
  <si>
    <t>108NX</t>
  </si>
  <si>
    <t>WOS:000075273300005</t>
  </si>
  <si>
    <t>Shand, BA; Yeoman, TK; Lewis, RV; Greenwald, RA; Hairston, MR</t>
  </si>
  <si>
    <t>Interhemispheric contrasts in the ionospheric convection response to changes in the interplanetary magnetic field and substorm activity: a case-study</t>
  </si>
  <si>
    <t>magnetospheric physics; auroral phenomena; magnetosphere-ionosphere interactions; storms and substorms</t>
  </si>
  <si>
    <t>HIGH-LATITUDE CONVECTION; NORTH-SOUTH COMPONENT; Y-COMPONENT; IMF-BY; MAGNETOSPHERE; CONJUGATE; RADAR; CURRENTS; PATTERNS; SYSTEM</t>
  </si>
  <si>
    <t>Interhemispheric contrasts in the ionospheric convection response to variations of the interplanetary magnetic field (IMF) and substorm activity are examined, for an interval observed by the Polar Anglo-American Conjugate Experiment (PACE) radar system between similar to 1600 and similar to 2100 MLT on 4 March 1992. Representations of the ionospheric convection pattern associated with different orientations and magnitudes of the IMF and nightside driven enhancemecnts of the auroral electrojet are employed to illustrate a possible explanation for the contrast in convection flow response observed in radar data at nominally conjugate points. Ion drift measurements from the Defence Meteorological Satellite Program (DMSP) confirm these ionospheric convection flows to be representative for the prevailing IMF orientation and magnitude. The location of the fields of view of the PACE radars with respect to these patterns suggest that the radar backscatter observed in each hemisphere is critically influenced by the position of the ionospheric convection reversal boundary (CRB) within the radar field of view and the influence it has on the generation of the irregularities required as scattering targets by high-frequency coherent radar systems. The position of the CRB in each hemisphere is strongly controlled by the relative magnitudes of the IMF B-z and B-y components, and hence so is the interhemispheric contrast in the radar observations.</t>
  </si>
  <si>
    <t>Univ Leicester, Dept Phys &amp; Astron, Leicester LE1 7RH, Leics, England; British Antarctic Survey, NERC, Cambridge CB3 0ET, England; Johns Hopkins Univ, Appl Phys Lab, Laurel, MD 20707 USA; Johns Hopkins Univ, Appl Phys Lab, Laurel, MD 20707 USA; Univ Texas, Ctr Space Sci, Richardson, TX 75083 USA</t>
  </si>
  <si>
    <t>University of Leicester; UK Research &amp; Innovation (UKRI); Natural Environment Research Council (NERC); NERC British Antarctic Survey; Johns Hopkins University; Johns Hopkins University Applied Physics Laboratory; Johns Hopkins University; Johns Hopkins University Applied Physics Laboratory; University of Texas System; University of Texas Dallas</t>
  </si>
  <si>
    <t>Univ Leicester, Dept Phys &amp; Astron, Univ Rd, Leicester LE1 7RH, Leics, England.</t>
  </si>
  <si>
    <t>yxo@ion.le.ac.uk</t>
  </si>
  <si>
    <t>Yeoman, Timothy k/L-9105-2014</t>
  </si>
  <si>
    <t>Yeoman, Timothy k/0000-0002-8434-4825; Greenwald, Raymond/0000-0002-7421-5536; Hairston, Marc/0000-0003-4524-4837</t>
  </si>
  <si>
    <t>10.1007/s00585-998-0764-8</t>
  </si>
  <si>
    <t>107JT</t>
  </si>
  <si>
    <t>WOS:000075205200003</t>
  </si>
  <si>
    <t>Murray, AE; Preston, CM; Massana, R; Taylor, LT; Blakis, A; Wu, K; DeLong, EF</t>
  </si>
  <si>
    <t>Seasonal and spatial variability of bacterial and archaeal assemblages in the coastal waters near Anvers Island, Antarctica</t>
  </si>
  <si>
    <t>16S RIBOSOMAL-RNA; GRADIENT GEL-ELECTROPHORESIS; WESTERN BRANSFIELD STRAIT; MICROBIAL-POPULATIONS; HYBRIDIZATION PROBES; BACTERIOPLANKTON; GENES; PCR; IDENTIFICATION; AMPLIFICATION</t>
  </si>
  <si>
    <t>A previous report of high levels of members of the domain Archaea in Antarctic coastal waters prompted us to investigate the ecology of Antarctic planktonic prokaryotes, rRNA hybridization techniques and denaturing gradient gel electrophoresis (DGGE) analysis of the bacterial V3 region were used to study variation in Antarctic picoplankton assemblages. In Anvers Island nearshore waters during late winter to early spring, the amounts of archaeal rRNA ranged from 17.1 to 3.6% of the total picoplankton rRNA in 1996 and from 16.0 to 1.0% of the total rRNA in 1995, Offshore in the Palmer Basin, the levels of archaeal rRNA throughout the water column were higher (average, 24% of the total rRNA) during the same period in 1996. The archaeal rRNA levels in nearshore waters followed a highly seasonal pattern and markedly decreased during the austral summer at two stations. There was a significant negative correlation between archaeal rRNA levels and phytoplankton levels las inferred from chlorophyll a concentrations) in nearshore surface waters during the early spring of 1995 and during an 8-month period in 1996 and 1997, In situ hybridization experiments revealed that 5 to 14% of DAPI (4',6-diamidino-2-phenylindole)-stained cells were archaeal, corresponding to 0.9 x 10(4) to 2.7 x 10(4) archaeal cells per mi, in late winter 1996 samples. Analysis of bacterial ribosomal DNA fragments by DGGE revealed that the assemblage composition may reflect changes in water column stability, depth, or season. The data indicate that changes in Antarctic seasons are accompanied by significant shifts in the species composition of bacterioplankton assemblages and by large decreases in the relative proportion of archaeal rRNA in the nearshore water column.</t>
  </si>
  <si>
    <t>Univ Calif Santa Barbara, Inst Marine Sci, Santa Barbara, CA 93106 USA</t>
  </si>
  <si>
    <t>University of California System; University of California Santa Barbara</t>
  </si>
  <si>
    <t>Monterey Bay Aquarium Res Inst, POB 628,7700 Sandholdt Rd, Moss Landing, CA 95039 USA.</t>
  </si>
  <si>
    <t>delong@mbari.org</t>
  </si>
  <si>
    <t>Massana, Ramon/F-4205-2016</t>
  </si>
  <si>
    <t>Massana, Ramon/0000-0001-9172-5418</t>
  </si>
  <si>
    <t>ZY646</t>
  </si>
  <si>
    <t>WOS:000074644700040</t>
  </si>
  <si>
    <t>Brodin, A; Olsson, O; Clark, CW</t>
  </si>
  <si>
    <t>Modeling the breeding cycle of long-lived birds: Why do King Penguins try to breed late?</t>
  </si>
  <si>
    <t>AUK</t>
  </si>
  <si>
    <t>APTENODYTES-PATAGONICUS; CROZET-ISLANDS; DIET; REPRODUCTION</t>
  </si>
  <si>
    <t>Univ Stockholm, Dept Zool, S-10691 Stockholm, Sweden; Uppsala Univ, Dept Zool, S-75236 Uppsala, Sweden; British Antarctic Survey, Cambridge CB3 0ET, England; Univ British Columbia, Inst Appl Math, Vancouver, BC V6T 1Z2, Canada</t>
  </si>
  <si>
    <t>Stockholm University; Uppsala University; UK Research &amp; Innovation (UKRI); Natural Environment Research Council (NERC); NERC British Antarctic Survey; University of British Columbia</t>
  </si>
  <si>
    <t>Brodin, A (corresponding author), Univ Lund, Dept Ecol, Div Theoret Ecol, Ecol Bldg, S-22362 Lund, Sweden.</t>
  </si>
  <si>
    <t>anders.brodin@teorekol.lu.se</t>
  </si>
  <si>
    <t>AMER ORNITHOLOGISTS UNION</t>
  </si>
  <si>
    <t>ORNITHOLOGICAL SOC NORTH AMER PO BOX 1897, LAWRENCE, KS 66044-8897 USA</t>
  </si>
  <si>
    <t>0004-8038</t>
  </si>
  <si>
    <t>10.2307/4089426</t>
  </si>
  <si>
    <t>101XP</t>
  </si>
  <si>
    <t>WOS:000074893700022</t>
  </si>
  <si>
    <t>Hays, R; Measures, LN; Huot, J</t>
  </si>
  <si>
    <t>Euphausiids as intermediate hosts of Anisakis simplex in the St. Lawrence estuary</t>
  </si>
  <si>
    <t>PSEUDOTERRANOVA-DECIPIENS NEMATODA; HELMINTH-PARASITES; 3RD-STAGE LARVAE; ANTARCTIC KRILL; DET KRABBE; NORTH-SEA; ASCARIDOIDEA; GULF; MALACOSTRACA; MORPHOLOGY</t>
  </si>
  <si>
    <t>To determine abundance of larval Anisakis simplex in euphausiids of the St. Lawrence estuary, Meganyctiphanes norvegica and Thysanoessa raschii were collected at seven sites from the mouth of the Saguenay River to Bale des Outardes. Larvae were removed from euphausiids by means of a modified Baermann apparatus filled with a pepsin-HCl digest solution. Abundances of larvae in euphausiids ranged from 0 to 58.2 x 10(-5). Larvae (N = 100) were in the third stage (bearing one cuticle) or moulting from the second stage to the third stage (bearing two cuticles). Euphausiids, particularly T. raschii, which represented 98% of the total euphausiids sampled, are important intermediate hosts of A. simplex in the St. Lawrence estuary. These data indicate the importance of the St. Lawrence estuary as an enzootic zone for A. simplex and thus a valuable area to study the biology and the transmission of this parasite.</t>
  </si>
  <si>
    <t>Fisheries &amp; Oceans Canada, Maurice Lamontagne Inst, Mont Joli, PQ G5H 3Z4, Canada; Univ Laval, Dept Biol, Ste Foy, PQ G1K 7P6, Canada; Univ Laval, Ctr Etud Nord, Ste Foy, PQ G1K 7P6, Canada</t>
  </si>
  <si>
    <t>Fisheries &amp; Oceans Canada; Laval University; Laval University</t>
  </si>
  <si>
    <t>Fisheries &amp; Oceans Canada, Maurice Lamontagne Inst, POB 1000, Mont Joli, PQ G5H 3Z4, Canada.</t>
  </si>
  <si>
    <t>measuresL@dfo-mpo.gc.ca</t>
  </si>
  <si>
    <t>Hays, Ron D./D-5629-2013</t>
  </si>
  <si>
    <t>Hays, Ron D./0000-0001-6697-907X</t>
  </si>
  <si>
    <t>10.1139/cjz-76-7-1226</t>
  </si>
  <si>
    <t>157WL</t>
  </si>
  <si>
    <t>WOS:000078084600003</t>
  </si>
  <si>
    <t>Hernandez-Blazquez, FJ; da Silva, JRMC</t>
  </si>
  <si>
    <t>Absorption of macromolecular proteins by the rectal epithelium of the Antarctic fish Notothenia neglecta</t>
  </si>
  <si>
    <t>2ND GUT SEGMENT; POSTERIOR INTESTINAL SEGMENT; TROUT ONCORHYNCHUS-MYKISS; CYPRINUS-CARPIO L; RAINBOW-TROUT; IMMUNOLOGICAL IMPORTANCE; EOSINOPHILIC GRANULOCYTES; ANTIFREEZE GLYCOPEPTIDES; CELLS; DIGESTION</t>
  </si>
  <si>
    <t>The absorption of intact proteins by Notothenia neglecta enterocytes was, studied by both light and electron microscopy after administration of ferritin by the oral and anal routes. Intense pinocytosis of ferritin occurs in the second half of the preanal segment, located distal to the rectal valve, which is equivalent to 5% of the intestine length. The ferritin was identified after 48 h by light microscopy and was also observed in the interior of the electron-dense cytoplasmic vesicles of the rectal epithelium. Uptake and transport of protein macromolecules by the oral route are less marked than in other fishes studied. As ferritin uptake was more intense by the anal route, we conclude that the rectum of N. neglecta is the intestinal segment where endogenous or exogenous proteins are normally absorbed in great quantity by pinocytosis.</t>
  </si>
  <si>
    <t>Univ Sao Paulo, Fac Zootecnia &amp; Engn Alimentos, BR-13630000 Pirassununga, SP, Brazil; Univ Sao Paulo, Inst Ciencias Biomed, BR-13630000 Pirassununga, SP, Brazil</t>
  </si>
  <si>
    <t>Universidade de Sao Paulo; Universidade de Sao Paulo</t>
  </si>
  <si>
    <t>Univ Sao Paulo, Fac Zootecnia &amp; Engn Alimentos, Ave Duque Caxias Norte,225-ZAB-USP, BR-13630000 Pirassununga, SP, Brazil.</t>
  </si>
  <si>
    <t>fjhblazq@spider.usp.br</t>
  </si>
  <si>
    <t>Hernandez-Blazquez, Francisco Javier/K-5450-2014; Silva, J.R.M.C./H-7496-2016</t>
  </si>
  <si>
    <t>10.1139/cjz-76-7-1247</t>
  </si>
  <si>
    <t>WOS:000078084600005</t>
  </si>
  <si>
    <t>Mizuta, S; Miyagi, T; Yoshinaka, R</t>
  </si>
  <si>
    <t>Characterization of a major alpha component of collagen from muscle of Antarctic krill Euphausa superba</t>
  </si>
  <si>
    <t>collagen; muscle; Euphausia superba; krill; arthropod; crustacean; subcuticular membrane; connective tissue; extracellular matrix; histochemistry</t>
  </si>
  <si>
    <t>PRAWN PENAEUS-JAPONICUS; GENETICALLY DISTINCT TYPES; KURUMA PRAWN; THERMAL-STABILITY; PROTEINS</t>
  </si>
  <si>
    <t>A major alpha component of collagen was isolated from the muscle of the Antarctic krill Euphausia superba by SP-Toyopearl column chromatography. Its characteristics were examined by biochemical and immunohistochemical techniques. The major a component of the krill collagen, referred to as a I(Kr) component, occupied more than 80% of the total pepsin-solubilized collagen and showed typical compositional feature of crustacean major collagens, with low and high contents of alanine and hydroxylysine, respectively. The alpha 1(Kr) component was mainly distributed in relatively thick connective tissues, epimysium and perimysium. These results suggest that the alpha 1(Kr) component may functionally correspond to the major ct component of collagen in decapods, alpha 1(AR-I) (AR-I: Arthropod-Type I), and comprise a major homotrimeric collagen molecule, [alpha 1(AR-I)(3)]. (C) 1998 Elsevier Science Inc. All rights reserved.</t>
  </si>
  <si>
    <t>Fukui Prefectural Univ, Fac Biotechnol, Dept Marine Biosci, Fukui 917, Japan</t>
  </si>
  <si>
    <t>Fukui Prefectural University</t>
  </si>
  <si>
    <t>Mizuta, S (corresponding author), Fukui Prefectural Univ, Fac Biotechnol, Dept Marine Biosci, Fukui 917, Japan.</t>
  </si>
  <si>
    <t>10.1016/S0305-0491(98)10055-X</t>
  </si>
  <si>
    <t>118GP</t>
  </si>
  <si>
    <t>WOS:000075830300019</t>
  </si>
  <si>
    <t>Scarrow, JH; Leat, PT; Wareham, CD; Millar, IL</t>
  </si>
  <si>
    <t>Geochemistry of mafic dykes in the Antarctic Peninsula continental-margin batholith: a record of arc evolution (vol 131, pg 289, 1998)</t>
  </si>
  <si>
    <t>CONTRIBUTIONS TO MINERALOGY AND PETROLOGY</t>
  </si>
  <si>
    <t>Scarrow, Jane H./J-9237-2017; Millar, Ian L/F-1541-2010</t>
  </si>
  <si>
    <t>0010-7999</t>
  </si>
  <si>
    <t>CONTRIB MINERAL PETR</t>
  </si>
  <si>
    <t>Contrib. Mineral. Petrol.</t>
  </si>
  <si>
    <t>110UE</t>
  </si>
  <si>
    <t>WOS:000075398300008</t>
  </si>
  <si>
    <t>Schluter, M; van der Loeff, MMR; Holby, O; Kuhn, G</t>
  </si>
  <si>
    <t>Silica cycle in surface sediments of the South Atlantic</t>
  </si>
  <si>
    <t>BIOGENIC-SILICA; WEDDELL SEA; ORGANIC-CARBON; EXPORT PRODUCTION; ANTARCTIC OCEAN; SCOTIA SEAS; ROSS SEA; ACCUMULATION; WATER; DISTRIBUTIONS</t>
  </si>
  <si>
    <t>Production of biogenic silica and dissolution processes in the water column and surface sediment are important aspects for the investigation and reconstruction of present and past productivity of the ocean. Although the geological record of biogenic silica is often used as a proxy for paleoceanographic processes in the Southern Ocean, little is known about the present regional distribution of biogenic silica flux and accumulation and their relation to primary production in surface waters. Based on more than 130 sediment and pore water samples, the regional differences of the biogenic silica flux to the sea floor of the southern South Atlantic were investigated. In contrast to biogenic silica content, the dissolved Si-flux through the sediment/water interface, caused by intense dissolution of BSi in surface sediments, reflects biogenic production in surface waters. This was inferred by observed increases of Si-fluxes in regions of recurrent polynya formation or in the vicinity of Marginal Ice Zones as at the Weddelt-Scotia Sea boundary. In the Scotia Sea, where no benthic fluxes were reported before, we found a considerable burial of biogenic silica and biogenic silica fluxes to the sea floor of similar to 800-1300 mmol m(-2) a(-1). This is a significantly higher flux than derived for the known opal accumulation area in the SE Atlantic, further to the east in the Antarctic Circumpolar Current, where a flux of similar to 600-767 mmol m(-2) a(-1) was observed. This shows that the Scotia Sea is not a gap within the Circumpolar Antarctic Opal Belt as previously assumed. The geochemical budget for different sub-regions of the South Atlantic was considered by a Geographic Information System. In contrast to most previous attempts, this ensures the accurate consideration of the spatial distribution of sampling sites, a crucial aspect for the accuracy of geochemical budgets. For the South Atlantic we calculated the flux of biogenic silica to the sea floor as similar to 5.1 x 10(12) mol a(-1). Only similar to 0.84 x 10(12) mol a(-1) is buried in these sediments, which is considerably less than previous estimates. (C) 1998 Elsevier Science Ltd. All rights reserved.</t>
  </si>
  <si>
    <t>GEOMAR, D-24148 Kiel, Germany; Alfred Wegener Inst Polar &amp; Marine Res, D-2850 Bremerhaven, Germany; Max Planck Inst, Bremen, Germany</t>
  </si>
  <si>
    <t>Helmholtz Association; GEOMAR Helmholtz Center for Ocean Research Kiel; Helmholtz Association; Alfred Wegener Institute, Helmholtz Centre for Polar &amp; Marine Research; Max Planck Society</t>
  </si>
  <si>
    <t>Schluter, M (corresponding author), GEOMAR, Wischhofstr 1-3, D-24148 Kiel, Germany.</t>
  </si>
  <si>
    <t>Kuhn, Gerhard/0000-0001-6069-7485; Schlueter, Michael/0000-0002-4997-3802; Rutgers van der Loeff, Michiel/0000-0003-1393-3742</t>
  </si>
  <si>
    <t>10.1016/S0967-0637(98)00006-5</t>
  </si>
  <si>
    <t>116XJ</t>
  </si>
  <si>
    <t>WOS:000075750100003</t>
  </si>
  <si>
    <t>Ishii, M; Inoue, HY; Matsueda, H; Tanoue, E</t>
  </si>
  <si>
    <t>Close coupling between seasonal biological production and dynamics of dissolved inorganic carbon in the Indian Ocean sector and the western Pacific Ocean sector of the Antarctic Ocean</t>
  </si>
  <si>
    <t>WINTER MIXED LAYER; MARGINAL ICE-ZONE; SOUTHERN-OCEAN; WEDDELL SEA; PARTICLE-FLUX; SURFACE-WATER; PHYTOPLANKTON; SUMMER; VARIABILITY; NITROGEN</t>
  </si>
  <si>
    <t>The distribution of total dissolved inorganic carbon (DIC) in surface sea water and the upper water column of the seasonal ice zone in the Antarctic Ocean between 30 degrees E and 150 degrees E was investigated in the austral summer 1992/1993. In February-March 1993, total DIC content of surface seawater in the seasonal ice zone showed large spatial variability, ranging from 2064 to 2166 mu mol kg(-1). Biological activity played an important role in the deficit of total DIC in Prydz Bay, in the marginal ice zones (MIZ) near Lutzow-Holm Bay and Casey Bay, and in the offshore regions near 63 degrees S, 100 degrees E, while the decrease in total DIC due to meltwater input from the receding sea ice was also significant in those MIZ and in the area off the West Ice Shelf. From the analyses of total DIC concentration in the coldest waters (t &lt; - 1.7 degrees C) of the subsurface temperature minimum layer, we deduced a characteristic value of normalized total DIC concentration (2184.0 +/- 3.7 mu molkg(-1) at S = 34) for the winter mixed layer over the wide area we investigated. Seasonally integrated net community production (NCP) in summer and its Delta C(T)/Delta N/Delta P ratios were calculated on the basis of the difference in normalized total DIC and nutrients concentrations between the winter mixed layer and the Summer Surface Water. Large spatial variations in the NCP, ranging from 10 to 48 gCm(-2), and different Delta C(T)/Delta N/Delta P consumption ratios, typically 58/9.2/1 and 84/9.0/1, suggest the high variability of organic matter production and of its impact on both the air-sea CO(2) exchange and export of carbon from the photic layer to the deeper waters in the seasonal ice zone of the Antarctic Ocean. (C) 1998 Elsevier Science Ltd. All rights reserved.</t>
  </si>
  <si>
    <t>Meteorol Res Inst, Geochem Res Dept, Tsukuba, Ibaraki 305, Japan</t>
  </si>
  <si>
    <t>Meteorological Research Institute - Japan</t>
  </si>
  <si>
    <t>Ishii, M (corresponding author), Meteorol Res Inst, Geochem Res Dept, 1-1 Nagamine, Tsukuba, Ibaraki 305, Japan.</t>
  </si>
  <si>
    <t>mishii@mri-jma.go.jp</t>
  </si>
  <si>
    <t>Yoshikawa, Hisayuki/A-4056-2012</t>
  </si>
  <si>
    <t>Ishii, Masao/0000-0002-7328-4599</t>
  </si>
  <si>
    <t>10.1016/S0967-0637(98)00010-7</t>
  </si>
  <si>
    <t>WOS:000075750100007</t>
  </si>
  <si>
    <t>Demers, S; Belzile, C; Lean, DRS; Mostajir, B; Roy, S; de Mora, S; Bird, D; Gosselin, M; Chanut, JP; Levasseur, M</t>
  </si>
  <si>
    <t>An experimental tool to study the effects of ultraviolet radiation on planktonic communities: A mesocosm approach</t>
  </si>
  <si>
    <t>ENVIRONMENTAL TECHNOLOGY</t>
  </si>
  <si>
    <t>ultraviolet-B radiation; mesocosm; experimental design; ozone depletion; plankton community</t>
  </si>
  <si>
    <t>BIOLOGICAL WEIGHTING FUNCTION; B RADIATION; OZONE DEPLETION; ANTARCTIC PHYTOPLANKTON; MARINE DIATOM; INHIBITION; SUPPLEMENTATION; PHOTOSYNTHESIS; REDUCTION; EXPOSURE</t>
  </si>
  <si>
    <t>A mesocosm approach was adopted for the study of the impact of W-B radiation on coastal planktonic communities. Experiments were conducted in eight land-based 1500 1 mesocosms. The 2.25 m deep mesocosms reproduced the whole euphotic zone and vertical mixing ensured a homogeneous water column. While maintaining all other physical characteristics the same, UV-B levels were manipulated in different mesocosms by either increasing W-B with lamps or by eliminating it using Mylar(R) sheet as a filter. The resulting spectral irradiance regime produced in the mesocosms was characterised by the daily irradiance averaged over the water column. Incident irradiance was measured every 10 minutes using an International Light IL-1700 radiometer and a Biospherical PUV-511 radiometer. Underwater spectral irradiance for the different treatments was determined using a Biospherical PUV-500 profiling radiometer. One of the present challenges of UV-B research is the extrapolation of results from laboratory and short-term field experiments to natural populations and ecosystems, The merits and limitations of using mesocosms are explored in this investigation with particular attention to the underwater spectral properties.</t>
  </si>
  <si>
    <t>Inst Natl Rech Sci Oceanol, Grp Rech Environm Cotier, Rimouski, PQ G5L 3A1, Canada; Univ Quebec, Rimouski, PQ G5L 3A1, Canada; Univ Ottawa, Dept Biol, Ottawa, ON K1N 6N5, Canada; Univ Quebec, Dept Sci Biol, Montreal, PQ H3C 3P8, Canada; Peches &amp; Oceans Canada, Inst Maurice Lamontagne, Mt Joli, PQ G5H 3Z4, Canada</t>
  </si>
  <si>
    <t>University of Quebec; University of Quebec; University of Ottawa; University of Quebec; University of Quebec Montreal; Fisheries &amp; Oceans Canada</t>
  </si>
  <si>
    <t>Demers, S (corresponding author), Inst Natl Rech Sci Oceanol, Grp Rech Environm Cotier, 310 Allee Ursulines, Rimouski, PQ G5L 3A1, Canada.</t>
  </si>
  <si>
    <t>; Gosselin, Michel/B-4477-2014</t>
  </si>
  <si>
    <t>Belzile, Claude/0000-0003-3908-7433; Gosselin, Michel/0000-0002-1044-0793</t>
  </si>
  <si>
    <t>SELPER LTD, PUBLICATIONS DIV</t>
  </si>
  <si>
    <t>79 RUSTHALL AVENUE, LONDON, ENGLAND W4 1BN</t>
  </si>
  <si>
    <t>0959-3330</t>
  </si>
  <si>
    <t>ENVIRON TECHNOL</t>
  </si>
  <si>
    <t>Environ. Technol.</t>
  </si>
  <si>
    <t>10.1080/09593331908616723</t>
  </si>
  <si>
    <t>112FG</t>
  </si>
  <si>
    <t>WOS:000075483000002</t>
  </si>
  <si>
    <t>Grunbaum, D</t>
  </si>
  <si>
    <t>Schooling as a strategy for taxis in a noisy environment</t>
  </si>
  <si>
    <t>aggregation; optimal foraging; resource distributions; schooling; search strategies; social behaviour; taxis</t>
  </si>
  <si>
    <t>KRILL EUPHAUSIA-SUPERBA; ANTARCTIC KRILL; RANDOM-WALK; BEHAVIOR; FISH; MODEL; SIZE; AGGREGATION; DYNAMICS; CHEMOTAXIS</t>
  </si>
  <si>
    <t>Many aquatic animals face a fundamental problem during foraging and migratory movements: while their resources commonly vary at large spatial scales, they can only sample and assess their environment at relatively small, local spatial scales. Thus, they are unable to choose movement directions by directly sampling distant parts of their environment. A common strategy to overcome this problem is taxis, a behaviour in which an animal performs a biased random walk by changing direction more rapidly when local conditions are getting worse. Such an animal spends more time moving in right directions than wrong ones, and eventually gets to a favourable area. Taxis is inefficient, however, when environmental gradients are weak or overlain by 'noisy' small-scale fluctuations. In this paper, I show that schooling behaviour can improve the ability of animals performing taxis to climb gradients, even under conditions when asocial taxis would be ineffective. Schooling is a social behaviour incorporating tendencies to remain close to and align with fellow members of a group. It enhances taxis because the alignment tendency produces tight angular distributions within groups, and dampens the stochastic effects of individual sampling errors. As a result, more school members orient up gradient than in the comparable asocial case. However, overly strong schooling behaviour makes the school slow in responding to changing gradient directions. This trade-off suggests an optimal level of schooling behaviour for given spatio-temporal scales of environmental variations. Social taxis may enhance the selective value of schooling in pelagic grazers such as herrings, anchovies and Antarctic krill. Furthermore, the degree of aggregation in a population of schooling animals may affect directly the rate and direction of migration and foraging movements.</t>
  </si>
  <si>
    <t>Univ British Columbia, Dept Math, Vancouver, BC V6T 1Y4, Canada</t>
  </si>
  <si>
    <t>University of British Columbia</t>
  </si>
  <si>
    <t>Grunbaum, D (corresponding author), Univ Washington, Dept Zool, Box 351800, Seattle, WA 98195 USA.</t>
  </si>
  <si>
    <t>Grunbaum, Sergio/HNI-4530-2023</t>
  </si>
  <si>
    <t>Grunbaum, Sergio/0000-0003-2291-9192</t>
  </si>
  <si>
    <t>10.1023/A:1006574607845</t>
  </si>
  <si>
    <t>106KF</t>
  </si>
  <si>
    <t>WOS:000075127900001</t>
  </si>
  <si>
    <t>Noll, K; Dobeli, M; Krahenbuhl, U</t>
  </si>
  <si>
    <t>Fluorine profiles in Antarctic meteorites by nuclear reaction analysis (NRA)</t>
  </si>
  <si>
    <t>FRESENIUS JOURNAL OF ANALYTICAL CHEMISTRY</t>
  </si>
  <si>
    <t>9th Conference in Solid State Analysis</t>
  </si>
  <si>
    <t>JUN 23-26, 1997</t>
  </si>
  <si>
    <t>CHEMNITZ, GERMANY</t>
  </si>
  <si>
    <t>CHONDRITES; SITES; H5</t>
  </si>
  <si>
    <t>Terrestrial fIuorine enrichment on Antarctic meteorites can be measured by detection of gamma-rays from the nuclear reaction F-19(p,alpha gamma)O-16, which is induced by a scanning proton beam. The technique (Nuclear Reaction Analysis by Proton Induced Gamma Emission: PIGME-NRA) allows simultaneous measurement of distribution and concentration without any chemical sample treatment and is not destructive. By using two detectors (HPGe and NaI) and taking into account the background contribution of the main interfering elements, the detection limit is below 10 mu g/g. The information obtained allows to estimate the maximum exposure duration of meteorites on the Antarctic ice surface.</t>
  </si>
  <si>
    <t>Univ Bern, CH-3012 Bern, Switzerland; ETH Honggerberg, PSI, CH-8093 Zurich, Switzerland; ETH Honggerberg, ETH Zurich, ITP, CH-8093 Zurich, Switzerland</t>
  </si>
  <si>
    <t>University of Bern; Swiss Federal Institutes of Technology Domain; ETH Zurich; Paul Scherrer Institute; Swiss Federal Institutes of Technology Domain; ETH Zurich</t>
  </si>
  <si>
    <t>Krahenbuhl, U (corresponding author), Univ Bern, Freiestr 3, CH-3012 Bern, Switzerland.</t>
  </si>
  <si>
    <t>0937-0633</t>
  </si>
  <si>
    <t>FRESEN J ANAL CHEM</t>
  </si>
  <si>
    <t>Fresenius J. Anal. Chem.</t>
  </si>
  <si>
    <t>JUL-AUG</t>
  </si>
  <si>
    <t>10.1007/s002160051002</t>
  </si>
  <si>
    <t>114JU</t>
  </si>
  <si>
    <t>WOS:000075606100066</t>
  </si>
  <si>
    <t>Hathway, B; Macdonald, DIM; Riding, JB; Cantrill, DJ</t>
  </si>
  <si>
    <t>Table Nunatak: a key outcrop of Upper Cretaceous shallow-marine strata in the southern Larsen Basin, Antarctic Peninsula</t>
  </si>
  <si>
    <t>JAMES-ROSS-ISLAND; HUMMOCKY CROSS-STRATIFICATION; UNIDIRECTIONAL FLOWS; FOSSIL WOOD; NORTH; STRATIGRAPHY; SHELF; SEDIMENTATION; SEQUENCES; IRELAND</t>
  </si>
  <si>
    <t>The northern, James Boss Island region of the Larsen Basin, on the eastern, back-are margin of the Antarctic Peninsula magmatic are, includes one of the thickest and most complete Upper Cretaceous sedimentary successions exposed in the Southern Hemisphere. However, the southern part of the basin remains poorly known, mainly owing to inaccessibility and lack of exposure. Table Nunatak, an isolated, l-km-long, 400-m-wide outcrop at the tip of Kenyon Peninsula, is the only known exposure of Upper Cretaceous or younger strata in this region. The 62-m-thick succession exposed there is assigned to the newly defined Table Nunatak Formation. It consists mainly of sharp-based, amalgamated beds of fine-grained sandstone up to 2.8 m thick, with subordinate intervals of intensely bioturbated mudstone. Wave ripples are present at some levels, and locally developed swaley cross-stratification provides evidence for storm-generated combined-flow deposition. However, most sandstone beds appear to be internally structureless apart from normal grading, and are interpreted as the direct suspension deposits of highly sediment-charged storm- and/or flood-related flows. The succession represents relatively nearshore deposition, probably at the mouth of a river or deltaic distributary channel. Charcoalified plant debris, abundant at the tops of some sandstone beds, suggests a periodically wildfire-swept hinterland forested largely by coniferous trees. Dinoflagellate cyst assemblages indicate a late Santonian age, and suggest correlation with the basal part of the Lachman Crags Member of the Santa Marta Formation (Marambio Group) on James Ross Island. Palaeocurrents, sandstone petrography and the high sediment supply rate proposed for the Table Nunatak Formation, suggest a relatively high-relief source area to the west, with large-scale erosion of granitoid plutons and metamorphic rocks, possibly related to are uplift during a mid-Cretaceous compressional episode. The formation is evidence of a major southward extension of the Upper Cretaceous strata exposed in the northern Larsen Basin, and suggests lateral continuity of shallow-marine deposition for at least 500-600 km along the Weddell Sea margin of the Antarctic Peninsula in Santonian times.</t>
  </si>
  <si>
    <t>British Antarctic Survey, NERC, Cambridge CB3 0ET, England; British Geol Survey, Nottingham NG12 5GG, England</t>
  </si>
  <si>
    <t>UK Research &amp; Innovation (UKRI); Natural Environment Research Council (NERC); NERC British Antarctic Survey; UK Research &amp; Innovation (UKRI); Natural Environment Research Council (NERC); NERC British Geological Survey</t>
  </si>
  <si>
    <t>Hathway, B (corresponding author), British Antarctic Survey, NERC, High Cross,Madingley Rd, Cambridge CB3 0ET, England.</t>
  </si>
  <si>
    <t>Cantrill, David/R-1415-2019</t>
  </si>
  <si>
    <t>Cantrill, David/0000-0002-1185-4015</t>
  </si>
  <si>
    <t>10.1017/S0016756898001241</t>
  </si>
  <si>
    <t>106TR</t>
  </si>
  <si>
    <t>WOS:000075167000006</t>
  </si>
  <si>
    <t>Harvey, RP; Dunbar, NW; McIntosh, WC; Esser, RP; Nishiizumi, K; Taylor, S; Caffee, MW</t>
  </si>
  <si>
    <t>Meteoritic event recorded in Antarctic ice</t>
  </si>
  <si>
    <t>TERRESTRIAL</t>
  </si>
  <si>
    <t>During systematic sampling of volcanic ash (tephra) layers at a well-known Antarctic meteorite collection site (the Allan Hills main ice field), a band of unusually dark and rounded (many spheroidal) particles was discovered. This debris layer (BIT-58) extends parallel to the stratigraphy of the ice established from the tephra bands, apparently marking a single depositional event. The shapes, internal texture, major element composition, and levels of cosmogenic nuclides of particles from within BIT-58 all strongly suggest that this material represents ablation debris from the passage of a large H-group ordinary chondrite, Preliminary cosmogenic isotope dating suggests an age of 2.8 Ma, implying that the East Antarctic ice sheet has been stable since that time. The relationship of the Bit-58 layer to known impact events is not clear.</t>
  </si>
  <si>
    <t>Case Western Reserve Univ, Dept Geol Sci, Cleveland, OH 44106 USA; New Mexico Inst Min &amp; Technol, Dept Earth &amp; Environm Sci, Socorro, NM 87801 USA; Univ Calif Berkeley, Space Sci Lab, Berkeley, CA 94720 USA; USA, Cold Reg Res &amp; Engn Lab, Hanover, NH 03755 USA; Univ Calif Lawrence Livermore Natl Lab, Livermore, CA 94550 USA</t>
  </si>
  <si>
    <t>University System of Ohio; Case Western Reserve University; New Mexico Institute of Mining Technology; University of California System; University of California Berkeley; United States Department of Defense; United States Army; U.S. Army Corps of Engineers; U.S. Army Engineer Research &amp; Development Center (ERDC); Cold Regions Research &amp; Engineering Laboratory (CRREL); University of California System; United States Department of Energy (DOE); Lawrence Livermore National Laboratory</t>
  </si>
  <si>
    <t>Harvey, RP (corresponding author), Case Western Reserve Univ, Dept Geol Sci, Cleveland, OH 44106 USA.</t>
  </si>
  <si>
    <t>Dunbar, Nelia W./HZL-8693-2023</t>
  </si>
  <si>
    <t>Dunbar, Nelia W./0000-0002-5181-937X</t>
  </si>
  <si>
    <t>10.1130/0091-7613(1998)026&lt;0607:MERIAI&gt;2.3.CO;2</t>
  </si>
  <si>
    <t>100BX</t>
  </si>
  <si>
    <t>WOS:000074795000008</t>
  </si>
  <si>
    <t>Andersen, KK; Armengaud, A; Genthon, C</t>
  </si>
  <si>
    <t>Atmospheric dust under glacial and interglacial conditions</t>
  </si>
  <si>
    <t>GENERAL-CIRCULATION MODEL; DESERT DUST; WIND; SEA</t>
  </si>
  <si>
    <t>The uplift, transport and deposition of dust have been implemented in the LMDz AGCM. Simulations of atmospheric dust transport have been performed under present day (PD) and Last Glacial Maximum (LGM) conditions. For the PD climate the large-scale atmospheric dust transport as inferred from atmospheric measurements is reproduced. Increased dust amounts are simulated almost everywhere for the LGM climate, and the concentration of dust in Antarctic ice is increased as inferred from ice cores. The model simulates substantially increased dust concentrations in Greenland ice, however they are still lower than values reported from ice cores.</t>
  </si>
  <si>
    <t>Univ Grenoble 1, Lab Glaciol &amp; Geophys Environm, CNRS, F-38402 St Martin Dheres, France; Univ Copenhagen, Dept Geophys, NBIFAFG, Copenhagen, Denmark</t>
  </si>
  <si>
    <t>Centre National de la Recherche Scientifique (CNRS); Communaute Universite Grenoble Alpes; Universite Grenoble Alpes (UGA); University of Copenhagen</t>
  </si>
  <si>
    <t>Andersen, KK (corresponding author), Univ Grenoble 1, Lab Glaciol &amp; Geophys Environm, CNRS, BP 96, F-38402 St Martin Dheres, France.</t>
  </si>
  <si>
    <t>andersen@glaciog.ujf-grenoble.fr; armengaud@glaciog.ujf-grenoble.fr; genthon@glaciog.ujf-grenoble.fr</t>
  </si>
  <si>
    <t>Andersen, Katrine Krogh/B-4082-2016</t>
  </si>
  <si>
    <t>Andersen, Katrine Krogh/0000-0003-4178-2195</t>
  </si>
  <si>
    <t>JUL 1</t>
  </si>
  <si>
    <t>10.1029/98GL51811</t>
  </si>
  <si>
    <t>ZZ145</t>
  </si>
  <si>
    <t>WOS:000074700200009</t>
  </si>
  <si>
    <t>Baker, KB; Engebretson, MJ; Rodger, AS; Arnoldy, RL</t>
  </si>
  <si>
    <t>The coherence scale length of band-limited Pc3 pulsations in the ionosphere</t>
  </si>
  <si>
    <t>BOUNDARY-LAYER; CUSP; RADAR; MAGNETOSPHERE; SIGNATURES; FIELD; WAVE</t>
  </si>
  <si>
    <t>Band-limited Pc-3 pulsations were observed on one day with pulsation magnetometers, photometers and in VLF activity at South Pole and simultaneously, electric field pulsations were observed in the ionospheric cusp using the PACE HF-Radar located at Halley Station, Antarctica. The electric field pulsations were observed by the radar on open magnetic field lines, which were likely to be connected more directly to the source region (upstream of the foreshock) of the activity than the magnetic pulsations, which were observed on closed magnetic field lines. The electric field pulsations were found to have a coherence scale length of around 30 - 60 km, significantly less than the upper limit that can be determined from magnetometer measurements.</t>
  </si>
  <si>
    <t>Johns Hopkins Univ, Appl Phys Lab, Laurel, MD 20723 USA; Augsburg Coll, Minneapolis, MN 55454 USA; British Antarctic Survey, Cambridge CB3 0ET, England; Univ New Hampshire, Durham, NH 03824 USA</t>
  </si>
  <si>
    <t>Johns Hopkins University; Johns Hopkins University Applied Physics Laboratory; Augsburg University; UK Research &amp; Innovation (UKRI); Natural Environment Research Council (NERC); NERC British Antarctic Survey; University System Of New Hampshire; University of New Hampshire</t>
  </si>
  <si>
    <t>Baker, KB (corresponding author), Johns Hopkins Univ, Appl Phys Lab, Johns Hopkins Rd, Laurel, MD 20723 USA.</t>
  </si>
  <si>
    <t>kbaker@nsf.gov; engebret@augsburg.edu; asro@pcmail.nerc-bas.ac.uk; rarnoldy@unh.edu</t>
  </si>
  <si>
    <t>10.1029/98GL01650</t>
  </si>
  <si>
    <t>WOS:000074700200029</t>
  </si>
  <si>
    <t>Szuberla, CAL; Olson, JV; Engebretson, MJ; Fraser, BJ; Ables, S; Hughes, WJ</t>
  </si>
  <si>
    <t>Interstation Pc3 coherence at cusp latitudes</t>
  </si>
  <si>
    <t>SOLAR-WIND; PULSATIONS; MAGNETOSPHERE; IONOSPHERE</t>
  </si>
  <si>
    <t>Magnetic fluctuations in the 22-100 millihertz (Pc3) band are a consistent indicator of the presence of the cusp in the overhead ionosphere at high latitudes. Correlation of the signals from a variety of instruments have shown that the sources of these pulsations are local (ionospheric:) rather than distant (magnetospheric) [Engebretson et al., 1990]. Modulated electron precipitation is presumed to be the source of the fluctuations through the modulations in ic,ionospheric conductivity that they produce. Olson and Szuberla [1997] used data from a pair of cusp stations to deduce the scale size of the precipitating beams using a simple model in which the beams were assumed to have circular cross section. They obtained an upper bound for the coherence length off he order of 200 km. In this paper we extend the analysis of Olson and Szuberla by incorporating data from the Magnetometer Array for Cusp and Cleft Studies (MACCS) magnetometer:er array and the Australian ANARE antarctic sites to give a broader range of station separations. Using a statistical approach we computed the cumulative distribution function of the interstation coherence and from that distribution we established a measure of coherence, CL. The result of this analysis ij a coherence that diminishes with inter-station distance as CL approximate to 1.4 exp(-S/250) where S is the station separation in km. When this result is interpreted in the context of the simple model mentioned above we find a coherence length of 140-180 km.</t>
  </si>
  <si>
    <t>Univ Alaska, Inst Geophys, Fairbanks, AK 99775 USA; Augsburg Coll, Dept Phys, Minneapolis, MN 55454 USA; Univ Newcastle, Dept Phys, Newcastle, NSW 2308, Australia; Boston Univ, Ctr Space Phys, Boston, MA 02215 USA</t>
  </si>
  <si>
    <t>University of Alaska System; University of Alaska Fairbanks; Augsburg University; University of Newcastle; Boston University</t>
  </si>
  <si>
    <t>Szuberla, CAL (corresponding author), Univ Alaska, Inst Geophys, Fairbanks, AK 99775 USA.</t>
  </si>
  <si>
    <t>10.1029/98GL01718</t>
  </si>
  <si>
    <t>WOS:000074700200035</t>
  </si>
  <si>
    <t>Keys, JG; Wood, SW; Jones, NB; Murcray, FJ</t>
  </si>
  <si>
    <t>Spectral measurements of HCl in the plume of the Antarctic volcano Mount Erebus</t>
  </si>
  <si>
    <t>MODEL-CALCULATIONS; MCMURDO; GASES; OZONE</t>
  </si>
  <si>
    <t>A favourable combination of circumstances on 7 September 1996 allowed tracking of the sun through the plume of the active Antarctic volcano, Mount Erebus (77.5 degrees S, 167.2 degrees E, height 3794m). Fourier transform spectrometer (FTS) measurements were therefore possible from the Arrival Heights laboratory (77.8 degrees S, 166.7 degrees E), located approximately 30km south of the volcano. FTS scans were made with the interferometer looking upwind and downwind of the summit, resulting in spectra of HCl which showed large column enhancements of the gas when the sun was viewed through the volcanic plume. Pressure broadened spectra confirm that this enhancement was due to an additional tropospheric component in the column. Assumptions have been made of the plume dimensions and velocity, and a daily downwind flux of HCl derived. This is compared with the daily average flux emitted at the volcanic crater source during periods of passive outgassing, as derived from measurements using other techniques. The result suggests that for this quiescent type of emission from the volcano there is no evidence of rapid tropospheric scavenging of HCl, as might be expected for more explosive events and a less dry atmosphere.</t>
  </si>
  <si>
    <t>Natl Inst Water &amp; Atmospher Res, Otago, New Zealand; Univ Denver, Dept Phys, Denver, CO 80208 USA</t>
  </si>
  <si>
    <t>National Institute of Water &amp; Atmospheric Research (NIWA) - New Zealand; University of Denver</t>
  </si>
  <si>
    <t>Keys, JG (corresponding author), Natl Inst Water &amp; Atmospher Res, Private Bag 50061 Omakau, Otago, New Zealand.</t>
  </si>
  <si>
    <t>Jones, Nicholas B/G-5575-2011; Jones, Nicholas/AFU-3135-2022</t>
  </si>
  <si>
    <t>Jones, Nicholas/0000-0002-0111-2368</t>
  </si>
  <si>
    <t>10.1029/98GL51868</t>
  </si>
  <si>
    <t>WOS:000074700200045</t>
  </si>
  <si>
    <t>Marshall, GJ; King, JC</t>
  </si>
  <si>
    <t>Southern hemisphere circulation anomalies associated with extreme Antarctic Peninsula winter temperatures</t>
  </si>
  <si>
    <t>OSCILLATION; CLIMATOLOGY; WAVES</t>
  </si>
  <si>
    <t>The Southern Hemisphere reveals markedly different circulation patterns associated with extreme warm and cold Antarctic Peninsula (AP) winter temperatures. Warm winters are associated with negative 500 hPa height anomalies in the Amundsen Sea-Bellingshausen Sea (AS-BS) and positive anomalies in the South Pacific (SP) and Scotia Sea with opposing anomalies existent in cold winters. Furthermore, a switch in the relative strength of the two arms of the New Zealand split jet, the subtropical jet (STJ) and polar front jet (PFJ), occurs with the PFJ (STJ) strengthened and the STJ (PFJ) weakened in warm (cold) years leading to increased cyclonic activity in the AS-BS (SP) and a corresponding decrease in the SP (AS-BS). These hemispheric anomaly patterns bear a strong resemblance to those associated with El Nino-Southern Oscillation (ENSO) events, and their origins can be ascribed to tropical sea surface temperatures (SST) changes. However, the correspondence between warm (cold) ENSO events and cold (warm) winters is not perfect. Potential contributors to this non-linearity include intraseasonal tropical SST variations (not necessarily represented in the usual filtered ENSO indices) and the persistence of local sea ice anomalies west of the Peninsula.</t>
  </si>
  <si>
    <t>gjma@pcmail.nbs.ac.uk; j.c.king@bas.ac.uk</t>
  </si>
  <si>
    <t>10.1029/98GL01651</t>
  </si>
  <si>
    <t>WOS:000074700200049</t>
  </si>
  <si>
    <t>Brothers, N; Gales, R; Hedd, A; Robertson, G</t>
  </si>
  <si>
    <t>Foraging movements of the Shy Albatross Diomedea cauta breeding in Australia; implications for interactions with longline fisheries</t>
  </si>
  <si>
    <t>IBIS</t>
  </si>
  <si>
    <t>SATELLITE TRACKING; BASS STRAIT; WANDERING ALBATROSSES; POPULATION-DYNAMICS; SOUTHERN-OCEAN; PRODUCTIVITY; MORTALITY; EXULANS; ECOLOGY; ISLAND</t>
  </si>
  <si>
    <t>Satellite telemetry was used to identify the foraging zones of Shy Albatrosses Diomedea cauta breeding at two sites off Tasmania, Australia (Albatross Island in western Bass Strait and Pedra Branca to the south) to assess their level of interaction with longline fisheries. Adult birds from both colonies fed locally both in and outside the breeding season, Breeding birds from Albatross Island foraged over the Australian continental shelf or slope waters off northwest Tasmania, while these from Pedra Branca foraged between the colony and the southeastern edge of the continental shelf. The distances travelled by the birds and the duration of their foraging trips varied during the breeding cycle and tended to decrease as eggs approached hatching, Adults which were tracked near the end of the breeding season (March-April, n = 7 birds) deserted their chicks prematurely, and while dispersing further than incubating or brooding birds, they remained over the continental shelf and slope waters off southeast Australia. Home range analyses indicated 41% overlap between foraging zones of birds during successive breeding stages. Dispersal during the postbreeding period ex-tended the foraging zones with less overlap between individuals (10% for Albatross Island and 19% for Pedra Branca). The recent contraction of the Japanese Southern Bluefin Tuna longline fishery to the south and east coasts of Tasmania has resulted in extensive overlap with adult Shy Albatrosses from Pedra Branca, but appears to pose a minimal threat to adult birds from Albatross Island. Coupled with the concomitant increase in the Australian domestic tuna longlining industry, adult Shy Albatrosses from southern Tasmania (Pedra Branca and the Mewstone) are vulnerable to incidental capture throughout their annual cycle.</t>
  </si>
  <si>
    <t>Dept Environm &amp; Land Management, Pk &amp; Wildlife Serv, Hobart, Tas 7001, Australia; Univ Tasmania, Dept Zool, Hobart, Tas 7001, Australia; Australian Antarctic Div, Kingston, Tas 7050, Australia</t>
  </si>
  <si>
    <t>Brothers, N (corresponding author), Dept Environm &amp; Land Management, Pk &amp; Wildlife Serv, GPO Box 44A, Hobart, Tas 7001, Australia.</t>
  </si>
  <si>
    <t>Hedd, April/0000-0003-2222-2627</t>
  </si>
  <si>
    <t>BRITISH ORNITHOLOGISTS UNION</t>
  </si>
  <si>
    <t>TRING</t>
  </si>
  <si>
    <t>C/O NATURAL HISTORY MUSEUM, SUB-DEPT ORNITHOLOGY, TRING, HERTS, ENGLAND HP23 6AP</t>
  </si>
  <si>
    <t>0019-1019</t>
  </si>
  <si>
    <t>Ibis</t>
  </si>
  <si>
    <t>10.1111/j.1474-919X.1998.tb04606.x</t>
  </si>
  <si>
    <t>ZW859</t>
  </si>
  <si>
    <t>WOS:000074455500010</t>
  </si>
  <si>
    <t>Misyuchenko, IL; Sukhorukov, KK</t>
  </si>
  <si>
    <t>Autonomous programed measuring device for controlling the stressed state of sea ice</t>
  </si>
  <si>
    <t>INSTRUMENTS AND EXPERIMENTAL TECHNIQUES</t>
  </si>
  <si>
    <t>Physicotechnical characteristics of an autonomous programmed measuring device based on an i8798 microprocessor, which is designed for collecting, converting, processing and storing the data on the stressed state and the degree of damage of sea ice during its monitoring, are analyzed. A breadboard model of the device was successfully tested under extreme natural conditions. The outlooks for its actual application and updating are discussed.</t>
  </si>
  <si>
    <t>Misyuchenko, IL (corresponding author), Arctic &amp; Antarctic Res Inst, Ul Beringa 38, St Petersburg 199397, Russia.</t>
  </si>
  <si>
    <t>PLENUM PUBL CORP</t>
  </si>
  <si>
    <t>CONSULTANTS BUREAU, 233 SPRING ST, NEW YORK, NY 10013 USA</t>
  </si>
  <si>
    <t>0020-4412</t>
  </si>
  <si>
    <t>INSTRUM EXP TECH+</t>
  </si>
  <si>
    <t>Instrum. Exp. Tech.</t>
  </si>
  <si>
    <t>Engineering, Multidisciplinary; Instruments &amp; Instrumentation</t>
  </si>
  <si>
    <t>Engineering; Instruments &amp; Instrumentation</t>
  </si>
  <si>
    <t>122XC</t>
  </si>
  <si>
    <t>WOS:000076095900029</t>
  </si>
  <si>
    <t>Ishiguro, H; Rubinsky, B</t>
  </si>
  <si>
    <t>Influence of fish antifreeze proteins on the freezing of cell suspensions with cryoprotectant penetrating cells</t>
  </si>
  <si>
    <t>INTERNATIONAL JOURNAL OF HEAT AND MASS TRANSFER</t>
  </si>
  <si>
    <t>DIRECTIONAL SOLIDIFICATION; HUMAN-ERYTHROCYTES; UNFROZEN FRACTION; ANTARCTIC FISHES; GLYCOPEPTIDES</t>
  </si>
  <si>
    <t>This study aims at understanding the influence of antifreeze proteins (AFPs) from fishes on the freezing of biological cells in relation to cryopreservation from the viewpoint of bioheat and mass transfer. Human red blood cells were frozen in the physiological salines including 20% v/v glycerol with and without 20 mg ml(-1) AFPs. Due to the addition of AFPs, the morphology of the ice crystal changed dramatically from a dendritic appearance into a spicular appearance. The spicular ice crystal caused strong mechanical interaction between the ice crystals and the red blood cells, and the resultant complete destruction of the red blood cells. This suggests that the morphology of the ice crystal and its mechanical interaction with the cells influence the cell survival through the freezing. (C) 1998 Elsevier Science Ltd. All rights reserved.</t>
  </si>
  <si>
    <t>Univ Tsukuba, Inst Engn Mech, Tsukuba, Ibaraki 305, Japan; Univ Calif Berkeley, Dept Mech Engn, Berkeley, CA 94720 USA</t>
  </si>
  <si>
    <t>University of Tsukuba; University of California System; University of California Berkeley</t>
  </si>
  <si>
    <t>Ishiguro, H (corresponding author), Univ Tsukuba, Inst Engn Mech, Tsukuba, Ibaraki 305, Japan.</t>
  </si>
  <si>
    <t>Rubinsky, Boris/B-4439-2010</t>
  </si>
  <si>
    <t>0017-9310</t>
  </si>
  <si>
    <t>INT J HEAT MASS TRAN</t>
  </si>
  <si>
    <t>Int. J. Heat Mass Transf.</t>
  </si>
  <si>
    <t>10.1016/S0017-9310(97)00368-2</t>
  </si>
  <si>
    <t>Thermodynamics; Engineering, Mechanical; Mechanics</t>
  </si>
  <si>
    <t>Thermodynamics; Engineering; Mechanics</t>
  </si>
  <si>
    <t>ZN257</t>
  </si>
  <si>
    <t>WOS:000073627800004</t>
  </si>
  <si>
    <t>Bowman, JP</t>
  </si>
  <si>
    <t>Pseudoalteromonas prydzensis sp. nov., a psychrotrophic, halotolerant bacterium from Antarctic sea ice</t>
  </si>
  <si>
    <t>Pseudoalteromonas; sea ice; seawater; Antarctica; most probable number counting</t>
  </si>
  <si>
    <t>GEN-NOV; BIODIVERSITY; ALTEROMONAS; DNA</t>
  </si>
  <si>
    <t>Species of the genus Pseudoalteromonas are frequently isolated from marine ecosystems and appear to be particularly abundant in Antarctic coastal waters. Most Pseudoalteromonas strains isolated from sea ice and underlying seawater samples are phenotypically similar to the species Pseudoalteromonas antarctica and Pseudoalteromonas nigrifaciens. However, a minority of isolates were recognized by phenotypic, DNA-DNA hybridization and 16S rRNA-based phylogenetic studies to represent a distinct genospecies clustering at the periphery of the non-pigmented Pseudoalteromonas species clade. These strains are non-pigmented, halotolerant psychrotrophs that are capable of hydrolysing starch and chitin. and possess a DNA G+C content of 38-39 mol%. It is proposed that this group represents a novel species, Pseudoalteromonas prydzensis sp. nov., for which the type strain is ACAM 620(T).</t>
  </si>
  <si>
    <t>Bowman, JP (corresponding author), Univ Tasmania, Dept Agr Sci, Antarctic CRC, GPO Box 252-80, Hobart, Tas 7001, Australia.</t>
  </si>
  <si>
    <t>Bowman, John P/C-2414-2014; Bowman, John P./ABF-5108-2020</t>
  </si>
  <si>
    <t>Bowman, John P/0000-0002-4528-9333; Bowman, John P./0000-0002-4528-9333</t>
  </si>
  <si>
    <t>10.1099/00207713-48-3-1037</t>
  </si>
  <si>
    <t>114CA</t>
  </si>
  <si>
    <t>WOS:000075590500048</t>
  </si>
  <si>
    <t>Clilverd, MA; Clark, TDG; Clarke, E; Rishbeth, H</t>
  </si>
  <si>
    <t>Increased magnetic storm activity from 1868 to 1995</t>
  </si>
  <si>
    <t>IONOSPHERE</t>
  </si>
  <si>
    <t>The aa index provides the longest continuous data set which can be used in the analysis of magnetospheric and ionospheric phenomenology. All phases of the solar cycle show increases in activity since cycle 14. The activity increase does not appear to be associated with any instrumental, ionospheric or magnetospheric effects. Barely significant effects (in terms of the results presented in this paper) have been identified in the long-term change in magnetic latitude of the observatory sites, the positions of high-latitude ionospheric features such as the cusp, and ionospheric Pedersen and Hall conductivities due to changing magnetic field orientation and strength. The prime cause of the change in geomagnetic activity is an increase in solar activity. The number of storms at solar minimum has typically increased by 40% more than the other phases. This is principally due to increased recurrent storm activity to such an extent that conditions at minimum in recent cycles could be thought of as being more representative of the declining phase. (C) 1998 Elsevier Science Ltd. All rights reserved.</t>
  </si>
  <si>
    <t>British Antarctic Survey, NERC, Cambridge CB3 0ET, England; British Geol Survey, Edinburgh, Midlothian, Scotland; Univ Southampton, Dept Phys &amp; Astron, Southampton SO17 1BJ, Hants, England</t>
  </si>
  <si>
    <t>UK Research &amp; Innovation (UKRI); Natural Environment Research Council (NERC); NERC British Antarctic Survey; UK Research &amp; Innovation (UKRI); Natural Environment Research Council (NERC); NERC British Geological Survey; University of Southampton</t>
  </si>
  <si>
    <t>Clilverd, MA (corresponding author), British Antarctic Survey, NERC, Madingley Rd, Cambridge CB3 0ET, England.</t>
  </si>
  <si>
    <t>10.1016/S1364-6826(98)00049-2</t>
  </si>
  <si>
    <t>130JR</t>
  </si>
  <si>
    <t>WOS:000076517400010</t>
  </si>
  <si>
    <t>Rasch, PJ; Kristjansson, JE</t>
  </si>
  <si>
    <t>A comparison of the CCM3 model climate using diagnosed and predicted condensate parameterizations</t>
  </si>
  <si>
    <t>GENERAL-CIRCULATION MODEL; CLOUD MICROPHYSICAL PROCESSES; MICROWAVE IMAGER SSM/I; WATER-CONTENT; LIQUID WATER; SCHEME; PRECIPITATION; SENSITIVITY; CONVECTION; RETRIEVAL</t>
  </si>
  <si>
    <t>A parameterization is introduced for the prediction of cloud water in the National Center for Atmospheric Research Community Climate Model version 3 (CCM3). The new parameterization makes a much closer connection between the meteorological processes that determine condensate formation and the condensate amount. The parameterization removes some constraints from the simulation by allowing a substantially wider range of variation in condensate amount than in the standard CCM3 and tying the condensate amount to local physical processes. The parameterization also allows cloud drops to form prior to the onset of grid-box saturation and can require a significant length of time to convert condensate to a precipitable form, or to remove the condensate. The free parameters of the scheme were adjusted to provide reasonable agreement with top of atmosphere and surface fluxes of energy. The parameterization was evaluated by a comparison with satellite and in situ measures of liquid and ice cloud amounts. The effect of the parameterization on the model simulation was then examined by comparing long model simulations to a similar run with the standard CCM and through comparison with climatologies based upon meteorological observations. Global ice and liquid water burdens are higher in the revised model :han in the control simulation, with an accompanying increase in height of the center of mass of cloud water. Zonal averages of cloud water contents were 20%-50% lower near the surface and much higher above. The range of variation of cloud water contents is much broader in the new parameterization but was still not as large as measurements suggest. Differences in the simulation were generally small. The largest significant changes found to the simulation were seen in polar regions (winter in the Arctic and all seasons in the Antarctic). The new parameterization significantly changes the Northern Hemisphere winter distribution of cloud water and improves the simulation of temperature and cloud amount there. Small changes were introduced in the cloud fraction to improve consistency of the meteorological parameterizations and to attempt to alleviate problems in the model tin particular, in the marine stratocumulus regime). The small changes did no; make any appreciable improvement to the model simulation. The new parameterization adds significantly to the flexibility in the model and the scope of problems that can be addressed. Such a scheme is needed for a reasonable treatment of scavenging of atmospheric trace constituents, and cloud aqueous or surface chemistry. The addition of a more realistic condensate parameterization provides opportunities for a closer connection between radiative properties of the clouds, and their formation and dissipation. These processes must be treated for many problems of interest today (e.g., anthropogenic aerosol-climate interactions).</t>
  </si>
  <si>
    <t>Natl Ctr Atmospher Res, Climate &amp; Global Dynam Div, Boulder, CO 80307 USA; Univ Oslo, Oslo, Norway</t>
  </si>
  <si>
    <t>National Center Atmospheric Research (NCAR) - USA; University of Oslo</t>
  </si>
  <si>
    <t>Rasch, PJ (corresponding author), Natl Ctr Atmospher Res, Climate &amp; Global Dynam Div, Pob 3000, Boulder, CO 80307 USA.</t>
  </si>
  <si>
    <t>pjr@ncar.ucar.edu</t>
  </si>
  <si>
    <t>Rasch, Philip J/F-7978-2018</t>
  </si>
  <si>
    <t>10.1175/1520-0442(1998)011&lt;1587:ACOTCM&gt;2.0.CO;2</t>
  </si>
  <si>
    <t>109MT</t>
  </si>
  <si>
    <t>WOS:000075326900007</t>
  </si>
  <si>
    <t>Christoph, M; Barnett, TP; Roeckner, E</t>
  </si>
  <si>
    <t>The Antarctic Circumpolar Wave in a coupled ocean-atmosphere GCM</t>
  </si>
  <si>
    <t>SOUTHERN OSCILLATION; CIRCULATION; HEMISPHERE</t>
  </si>
  <si>
    <t>A phenomenon called the Antarctic Circumpolar Wave (ACW), suggested earlier from fragmentary observational evidence, has been simulated realistically in an extended integration of a Max Planck Institute coupled general circulation model. The ACW both in the observations and in the model constitutes a mode of the coupled ocean-atmosphere-sea-ice system that inhabits the high latitudes of the Southern Hemisphere. It is characterized by anomalies of such climate variables as sea surface temperature, sea level pressure, meridional wind, and sea ice that exhibit intricate and evolving spatial phase relations to each other. The simulated ACW signal in the ocean propagates eastward over most of the high-latitude Southern Ocean, mainly advected along in the Antarctic Circumpolar Current. On average,it completes a circuit entirely around the Southern Ocean bur is strongly dissipated in the South Atlantic and in the southern Indian Ocean, just marginally maintaining statistical significance in these arl:as until it reaches the South Pacific where it is re energized. In extreme cases, the complete circumpolar propagation is more clear, requiring about 12-16 yr to complete the circuit. This, coupled with the dominant zonal wavenumber 3 pattern of the ACW, results in the local reappearance of energy peaks about every 4-5 yr. The oceanic component of the mode is forced by the atmosphere via fluxes of hear. The overlying atmosphere establishes patterns of sea level pressure that mainly consist of a standing wave and are associated with the Pacific-South American (PSA) oscillation described in earlier works. The PSA, like its counterpart in the North Pacific, appears to be a natural mode of the high southern latitudes. There iii some ENSO-related signal in the ACW forced by anomalous latent heat release associated with precipitation anomalies in the central and western tropical Pacific. However, ENSO-related forcing explains at most 30% of the ACW variance and, generally, much less. It is hypothesized that the ACW as an entity represents the net result of moving oceanic climate anomalies interacting with a spatially fixed atmospheric forcing pattern. As the SST moves into and out of phase with the resonant background pattern it is selectively amplified or dissipated, an idea supported by several independent analyses. A simplified ocean heat budget model seems to also support this idea.</t>
  </si>
  <si>
    <t>Max Planck Inst Meteorol, D-20146 Hamburg, Germany; Univ Calif San Diego, Scripps Inst Oceanog, La Jolla, CA 92093 USA</t>
  </si>
  <si>
    <t>Max Planck Society; University of California System; University of California San Diego; Scripps Institution of Oceanography</t>
  </si>
  <si>
    <t>Christoph, M (corresponding author), Max Planck Inst Meteorol, Bundesstr 55, D-20146 Hamburg, Germany.</t>
  </si>
  <si>
    <t>10.1175/1520-0442(1998)011&lt;1659:TACWIA&gt;2.0.CO;2</t>
  </si>
  <si>
    <t>WOS:000075326900010</t>
  </si>
  <si>
    <t>Genthon, C; Krinner, G</t>
  </si>
  <si>
    <t>Convergence and disposal of energy and moisture on the Antarctic polar cap from ECMWF reanalyses and forecasts</t>
  </si>
  <si>
    <t>SURFACE</t>
  </si>
  <si>
    <t>Diagnostics of energy and moisture transport and disposal over the Antarctic polar cap (70 degrees S to the pole) and ice sheet are extracted from the European Centre for Medium Range Weather Forecasts (ECMWF) reanalysis archive over the 1979-93 period. Transport across 70 degrees S is obtained from the 6-hourly analyses of wind, temperature, moisture, and geopotential, whereas top-of-the-atmosphere energy balance and surface energy and water fluxes are evaluated from 6- and 12-h forecasts. A frill decomposition of transport is made and tabulated in terms of seasons, dynamic components (mean meridional, stationary eddy, transient eddy), and type of energy (sensible, latent, geopotential). For instance, in terms of type of energy, about 50% of the total converged to the polar cap is geopotential, which is almost entirely advected by the mean meridional circulation. Even though atmospheric moisture is very low, latent heat transport accounts for almost 20% of the total energy import, mostly by the transient eddies. In terms of dynamic components, transient eddies alone import about 50% of the total energy in the form of sensible and latent heat. Some components actually export energy from the polar cap, and the variety of signatures exhibited by the transport decomposition may prove useful to check the dynamics of climate models in the very high southern latitudes. According to the analyses, the total annual mean energy input to the polar cap south of 70 degrees S by the atmospheric circulation is 50.8 W m(-2) of horizontal surface. The short-term forecasts suggest that the oceanic import is much smaller, of the order of model and analysis uncertainties. The interannual variability of atmospheric energy convergence is unreasonably large, and it is partly, yet not quite convincingly, correlated with the El Nino-Southern Oscillation. No convincing correlation is found either between moisture convergence from analyses or surface water budget from forecasts and the El Nino-Southern Oscillation. This result contradicts a previous study using the ECMWF operational analyses, which are more prone to spurious variability than the reanalyses and associated forecasts used here. The interannual variability of moisture convergence is large but reasonable, about 25% of the annual mean. It might be useful as a control against which to check the dynamics of the hydrological cycle of climate models in the high southern latitudes.</t>
  </si>
  <si>
    <t>Univ Grenoble, CNRS, LGGE, F-38402 St Martin Dheres, France</t>
  </si>
  <si>
    <t>Centre National de la Recherche Scientifique (CNRS); Communaute Universite Grenoble Alpes; Universite Grenoble Alpes (UGA)</t>
  </si>
  <si>
    <t>Univ Grenoble, CNRS, LGGE, 54 Rue Moliere,DU BP 96, F-38402 St Martin Dheres, France.</t>
  </si>
  <si>
    <t>genthon@glaciog.ujf-grenoble.fr</t>
  </si>
  <si>
    <t>Krinner, Gerhard/AAB-8837-2022; Krinner, Gerhard/A-6450-2011</t>
  </si>
  <si>
    <t>Krinner, Gerhard/0000-0002-2959-5920;</t>
  </si>
  <si>
    <t>1520-0442</t>
  </si>
  <si>
    <t>10.1175/1520-0442(1998)011&lt;1703:CADOEA&gt;2.0.CO;2</t>
  </si>
  <si>
    <t>WOS:000075326900013</t>
  </si>
  <si>
    <t>Forster, ME; Davison, W; Axelsson, M; Sundin, L; Franklin, CE; Gieseg, S</t>
  </si>
  <si>
    <t>Catecholamine release in heat-stressed Antarctic fish causes proton extrusion by the red cells</t>
  </si>
  <si>
    <t>JOURNAL OF COMPARATIVE PHYSIOLOGY B-BIOCHEMICAL SYSTEMIC AND ENVIRONMENTAL PHYSIOLOGY</t>
  </si>
  <si>
    <t>Antarctic; catecholamines; nototheniid; red cell swelling; stress</t>
  </si>
  <si>
    <t>BLOOD-PRESSURE CONTROL; RAINBOW-TROUT; PAGOTHENIA-BORCHGREVINKI; CARDIOVASCULAR-RESPONSES; TREMATOMUS-BERNACCHII; SWIMMING PERFORMANCE; ONCORHYNCHUS-MYKISS; NA+/H+ EXCHANGE; ATLANTIC COD; GADUS-MORHUA</t>
  </si>
  <si>
    <t>Two species of Antarctic fish were stressed by moving them from seawater at -1 degrees C to seawater at 10 degrees C and holding them for a period of 10 min. The active cryopelagic species Pagothenia borchgrevinki maintained heart rate while in the benthic species Trematomus bernacchii there was an increase in heart rate. Blood pressure did not change in either species. Both species released catecholamines into the circulation as a consequence of the stress. P. borchgrevinki released the greater amounts, having mean plasma concentrations of 177 +/- 54 nmol.l(-1) noradrenaline and 263 +/- 131 nmol.l(-1) adrenaline at 10 min. Pla.sma noradrenaline concentrations rose to 47 +/- 14 nmol.l(-1) and adrenaline to 73 +/- 28 nmol.l(-1) in T. bernacchii. Blood from P. borchgrevinki was tonometered in the presence of isoprenaline. A fall in extracellular pH suggests the presence of a Na+/H+ antiporter on the red cell membrane, the first demonstration of this in an Antarctic fish. Treatment with the beta-adrenergic antagonist drug sotalol inhibited swelling of red blood cells taken from temperature-stressed P. borchgrevinki, suggesting that the antiporter responds to endogenous catecholamines.</t>
  </si>
  <si>
    <t>Univ Canterbury, Dept Zool, Christchurch 1, New Zealand; Gothenburg Univ, Dept Zoophysiol, S-41390 Gothenburg, Sweden; Univ Queensland, Dept Zool, Brisbane, Qld 4072, Australia</t>
  </si>
  <si>
    <t>University of Canterbury; University of Gothenburg; University of Queensland</t>
  </si>
  <si>
    <t>Davison, W (corresponding author), Univ Canterbury, Dept Zool, Private Bag 4800, Christchurch 1, New Zealand.</t>
  </si>
  <si>
    <t>Axelsson, Michael/D-1412-2009; Franklin, Craig/G-7343-2012</t>
  </si>
  <si>
    <t>0174-1578</t>
  </si>
  <si>
    <t>J COMP PHYSIOL B</t>
  </si>
  <si>
    <t>J. Comp. Physiol. B-Biochem. Syst. Environ. Physiol.</t>
  </si>
  <si>
    <t>10.1007/s003600050153</t>
  </si>
  <si>
    <t>Physiology; Zoology</t>
  </si>
  <si>
    <t>104CL</t>
  </si>
  <si>
    <t>WOS:000074994800002</t>
  </si>
  <si>
    <t>Sundin, L; Davison, W; Forster, M; Axelsson, M</t>
  </si>
  <si>
    <t>A role of 5-HT2 receptors in the gill vasculature of the Antarctic fish Pagothenia borchgrevinki</t>
  </si>
  <si>
    <t>JOURNAL OF EXPERIMENTAL BIOLOGY</t>
  </si>
  <si>
    <t>5-hydroxytryptamine; circulation; blood vessel; gill; oxygen tension; Pagothenia borchgrevinki</t>
  </si>
  <si>
    <t>EEL ANGUILLA-ANGUILLA; HUMAN HAND VEINS; RAINBOW-TROUT; DIFFERENTIAL CLASSIFICATION; ONCORHYNCHUS-MYKISS; SMOOTH-MUSCLE; SEROTONIN; 5-HYDROXYTRYPTAMINE; FILAMENT; NEUROPEPTIDES</t>
  </si>
  <si>
    <t>This study was conducted to describe the cardiovascular responses to intra-arterial injections of serotonin in the Antarctic fish Pagothenia borchgrevinki and to elucidate the underlying mechanisms, Immunohistochemistry was used to localise serotonin-containing cells within the gills, Simultaneous and continuous recordings of ventral and dorsal aortic blood pressure, heart rate and ventral aortic blood flow (cardiac output) were made using standard cannulation procedures in combination with Doppler flow measurement, An extracorporeal loop with an in-line oxygen electrode allowed continuous measurements of arterial oxygen pressure Pa-O2. Pre-branchial injection of serotonin (5-hydroxytryptamine, 5-HT) or the 5-HT2 receptor agonist alpha-methylserotonin increased the branchial vascular resistance and ventral aortic pressure, while the 5-HT1 receptor agonist piperazine was without effect, The branchial vasoconstriction produced by serotonin injection was completely blocked by the 5-HT1/5-HT2 receptor antagonist methysergide and the branchial vasoconstriction produced by alpha-methylserotonin injection was completely blocked by the specific 5-HT2 receptor antagonist LY53857, The results suggest that the 5-HT2 receptor alone mediates the branchial vasoconstriction. Serotonin also mediated a methysergide-sensitive reduction in Pa-O2, the reduction being greatest when the pre-injection Pa-O2 value was high, 5-HT-immunoreactive cells and nerve fibres were present within the gill tissues, All the 5-HT-immunoreactive cells were located on the efferent side of the filaments, but 5-HT-immunoreactive nerve fibres were found lining both of the branchial arteries, Our findings demonstrate a potential serotonergic control system for the gills in Pagothenia borchgrevinki. In contrast to its effects on the branchial vasculature, serotonin produced a methysergide-insensitive decrease in the systemic vascular resistance, However, neither the specific 5-HT1 nor 5-HT2 receptor agonists produced a decrease in the resistance of the systemic vasculature, The nature of the serotonergic receptor(s) inducing vasodilation in teleost fish is uncertain.</t>
  </si>
  <si>
    <t>Univ Goteborg, Dept Zool, S-40530 Goteborg, Sweden; Univ Canterbury, Dept Zool, Christchurch 1, New Zealand</t>
  </si>
  <si>
    <t>University of Gothenburg; University of Canterbury</t>
  </si>
  <si>
    <t>Axelsson, M (corresponding author), Univ Goteborg, Dept Zool, S-40530 Goteborg, Sweden.</t>
  </si>
  <si>
    <t>M.Axelsson@zool.gu.se</t>
  </si>
  <si>
    <t>Axelsson, Michael/D-1412-2009</t>
  </si>
  <si>
    <t>COMPANY OF BIOLOGISTS LTD</t>
  </si>
  <si>
    <t>BIDDER BUILDING CAMBRIDGE COMMERCIAL PARK COWLEY RD, CAMBRIDGE, CAMBS, ENGLAND CB4 4DL</t>
  </si>
  <si>
    <t>0022-0949</t>
  </si>
  <si>
    <t>J EXP BIOL</t>
  </si>
  <si>
    <t>J. Exp. Biol.</t>
  </si>
  <si>
    <t>107NV</t>
  </si>
  <si>
    <t>WOS:000075216100004</t>
  </si>
  <si>
    <t>Wang, K; Thorne, RM; Horne, RB; Kurth, WS</t>
  </si>
  <si>
    <t>Constraints on Jovian plasma properties from a dispersion analysis of unducted whistlers in the warm Io torus</t>
  </si>
  <si>
    <t>PROPAGATION CHARACTERISTICS; DENSITY; JUPITER; MAGNETOSPHERE; VOYAGER-1; MODEL; WAVES</t>
  </si>
  <si>
    <t>The dispersion of unducted lightning-generated whistlers observed by Voyager I in the warm torus around density peaks at L = 5.7 and L = 5.9 are analyzed using the HOTRAY code, which incorporates a newly developed diffusive equilibrium density model for the Io torus. Since the wave propagation characteristics are primarily controlled by electron density, a simplified two-ion (H+ and O+) model has been used to simulate wave dispersion. The properties of O+ are adjusted to simulate the electron density variation at low latitudes (less than or equal to 20 degrees), where heavy ions dominate, and a variable Hf component is added to model the electron density at higher latitudes. Both the offset and tilt of the Jovian magnetic dipole are taken into account to determine the electron distribution as a function of System III longitude. The results confirm earlier suggestions that modest therml anisotropies (T-perpendicular to &gt; T-parallel to) Of heavy ions are required to match the observed whistler dispersion. Proton concentrations typically lie in the range 5-10%, with larger values in the outer torus. On the basis of these optimum plasma parameters, the observed upper cutoff frequencies (similar to 6 kHz) imply a minimum electron density of about 8 cm(-3) at high latitudes along field lines that map into the warm torus. This analysis of unducted whistlers indicates that all observed waves originate in the northern hemisphere rather than the southern hemisphere, as assumed in earlier studies of ducted waves. This new result is consistent with optical lightning events, which were only observed in the northern hemisphere by Voyager 1.</t>
  </si>
  <si>
    <t>Univ Calif Los Angeles, Dept Atmospher Sci, Los Angeles, CA 90095 USA; Univ Iowa, Dept Phys &amp; Astron, Iowa City, IA 52242 USA; British Antarctic Survey, Nat Environm Res Council, Madingley Rd, Cambridge CB3 0ET, England</t>
  </si>
  <si>
    <t>University of California System; University of California Los Angeles; University of Iowa; UK Research &amp; Innovation (UKRI); Natural Environment Research Council (NERC); NERC British Antarctic Survey</t>
  </si>
  <si>
    <t>Wang, K (corresponding author), CALTECH, Jet Prop Lab, 4800 Oak Grove Dr,M-S 169-506, Pasadena, CA 91109 USA.</t>
  </si>
  <si>
    <t>Kurth, William/AAA-7334-2019; Horne, Richard B/U-3764-2019</t>
  </si>
  <si>
    <t>Kurth, William/0000-0002-5471-6202; Horne, Richard B/0000-0002-0412-6407; Wang, Kaiti/0000-0003-2165-5922</t>
  </si>
  <si>
    <t>A7</t>
  </si>
  <si>
    <t>10.1029/98JA00964</t>
  </si>
  <si>
    <t>ZY130</t>
  </si>
  <si>
    <t>WOS:000074589300041</t>
  </si>
  <si>
    <t>Cold torus whistlers: An indirect probe of the inner Jovian plasmasphere</t>
  </si>
  <si>
    <t>JUPITER; DENSITY; VOYAGER-1; MODEL</t>
  </si>
  <si>
    <t>The dominant features of Jovian whistlers observed by Voyager 1 in the inner cold torus around R-J approximate to 5.3 are studied using the technique of ray tracing with an offset tilted dipole. These whistlers are unducted, and the electron density in the inner plasmasphere plays a controlling role in the access of whistlers to the cold torus. The upper frequency cutoff of inner zone whistlers allows a firm limit to be;placed on the minimum electron density 3-5 cm(-3) at higher latitudes in the inner plasmasphere around L approximate to 5.3, a region where no spacecraft have ever been. Backward ray tracing from the observation location is used to determine the source location at the top of the Jovian atmosphere, and it is shown to be consistent with the latitude of lightning events observed by Voyager 1.</t>
  </si>
  <si>
    <t>British Antarctic Survey, Nat Environm Res Council, Cambridge CB3 0ET, England; Univ Iowa, Dept Phys &amp; Astron, Iowa City, IA 52242 USA; Univ Calif Los Angeles, Dept Atmospher Sci, Los Angeles, CA 90095 USA</t>
  </si>
  <si>
    <t>UK Research &amp; Innovation (UKRI); Natural Environment Research Council (NERC); NERC British Antarctic Survey; University of Iowa; University of California System; University of California Los Angeles</t>
  </si>
  <si>
    <t>Horne, Richard B/U-3764-2019; Kurth, William/AAA-7334-2019</t>
  </si>
  <si>
    <t>Horne, Richard B/0000-0002-0412-6407; Kurth, William/0000-0002-5471-6202; Wang, Kaiti/0000-0003-2165-5922</t>
  </si>
  <si>
    <t>10.1029/98JA00965</t>
  </si>
  <si>
    <t>WOS:000074589300042</t>
  </si>
  <si>
    <t>Klok, CJ; Chown, SL</t>
  </si>
  <si>
    <t>Interactions between desiccation resistance, host-plant contact and the thermal biology of a leaf-dwelling sub-antarctic caterpillar, Embryonopsis halticella (Lepidoptera: Yponomeutidae)</t>
  </si>
  <si>
    <t>freeze avoidance; inoculation; thermal limits; chill coma; heat stupor; acclimation</t>
  </si>
  <si>
    <t>INSECT COLD-HARDINESS; SUBZERO TEMPERATURES; TERRESTRIAL ARTHROPODS; SUPERCOOLING POINTS; EUROSTA-SOLIDAGINIS; WINTER SURVIVAL; MARION ISLAND; WATER-CONTENT; SIGNY ISLAND; TOLERANCE</t>
  </si>
  <si>
    <t>During May 1997 thermal tolerance, supercooling point (SCP), low and high temperature survival, and desiccation resistance were examined in field-fresh Embryonopsis halticella Eaten larvae from Marion Island. SCPs were also examined in acclimated larvae, larvae starved for seven days, larvae within their leaf mines, and in larvae exposed to ice crystals. Field-fresh larvae had a critical minimum temperature (CTMin) and critical maximum temperature (CTMax) of 39.7 degrees C and 39.7 degrees C, respectively. Mean SCP of field-fresh caterpillars was -20.5 degrees C and this did not change with starvation. Field-fresh larvae did not survive freezing and their lower lethal temperatures (70% mortality below -21 degrees C) and survival of exposure to constant low temperatures (100% mortality after 12 hrs at -19 degrees C) indicated that they are moderately chill tolerant. SCP frequency distributions were unimodal for field-fresh larvae, but became bimodal at higher acclimation temperatures. Contact with ice-crystals caused an increase in SCP (-6.5 degrees C), but contact with the host plant had less of an effect at higher subzero temperatures. It appears that the remarkable desiccation resistance of the larvae is selected for by the absence of a boundary layer surrounding their host plant, caused by constant high winds. This suggests that the low SCPs of E. halticella larvae may have evolved as a consequence of pronounced desiccation resistance. (C) 1998 Elsevier Science Ltd. All rights reserved.</t>
  </si>
  <si>
    <t>Chown, Steven L/H-3347-2011; Chown, Steven/ABD-7646-2021</t>
  </si>
  <si>
    <t>10.1016/S0022-1910(98)00052-3</t>
  </si>
  <si>
    <t>100YF</t>
  </si>
  <si>
    <t>WOS:000074842300010</t>
  </si>
  <si>
    <t>Mahoney, JJ; Frei, R; Tejada, MLG; Mo, XX; Leat, PT; Nagler, TF</t>
  </si>
  <si>
    <t>Tracing the Indian Ocean mantle domain through time: Isotopic results from Old West Indian, East Tethyan, and South Pacific seafloor</t>
  </si>
  <si>
    <t>JOURNAL OF PETROLOGY</t>
  </si>
  <si>
    <t>mantle geochemistry; old Indian Ocean; Tethyan crust</t>
  </si>
  <si>
    <t>PHILIPPINE ISLAND ARCS; VOLCANIC-ROCKS; MASIRAH OPHIOLITE; SAMAIL OPHIOLITE; XIGAZE OPHIOLITE; TRIPLE JUNCTION; PLATE MOTIONS; RIDGE BASALT; RB-SR; EVOLUTION</t>
  </si>
  <si>
    <t>The isotopic difference between modern Indian Ocean and Pacific or North Atlantic Ocean ridge mantle (e.g. variably lower (206)Pb/(204)Pb for a given epsilon(Nd) and (208)Pb/(204)Pb) could reflect processes that occurred within a few tens of millions of years preceding the initial breakup of Gondwana. Alternatively, the Indian Ocean isotopic signature could be a much more ancient upper-mantle feature inherited from the asthenosphere of the eastern Tethyan Ocean, which formerly occupied much of the present Indian Ocean region. Age-corrected Nd, Pb, and Sr isotopic data for 46-150 Ma seafloor lavas from sites in the western Indian Ocean and ocean-ridge-type Tethyan ophiolites (Masirah, Yarlung-Zangpo) reveal the presence of both Indian-Ocean-type compositions and essentially Pacific-North Atlantic-type signatures. lit comparison, Jurassic South Pacific ridge basalts from Alexander Island, Antarctica, possess normal Pacific-North Atlantic-type isotopic ratios. Despite the very sparse sampling of old seafloor, the age-corrected epsilon(Nd)(t) values of the old Indian Ocean basalts cover a greater range than seen for the much more thoroughly sampled present-day spreading axes and islands within the Indian Ocean (e.g. 18 epsilon(Nd) units for basalts in the 60-80 Ma range vs 15 epsilon(Nd) units for 0-10 Ma ones). The implications of these results are that the upper mantle in the Indian Ocean region is becoming increasingly well mixed through time, and that the Indian Ocean mantle domain may not greatly pre-date the age of earliest spreading in the Indian Ocean.</t>
  </si>
  <si>
    <t>Univ Hawaii Manoa, Sch Ocean &amp; Earth Sci &amp; Technol, Honolulu, HI 96822 USA; Univ Copenhagen, Inst Geol, Copenhagen, Denmark; China Univ Geosci, Grad Sch, Beijing 100083, Peoples R China; British Antarctic Survey, Cambridge CB3 0ET, England; Univ Bern, Mineral Petrog Inst, CH-3012 Bern, Switzerland</t>
  </si>
  <si>
    <t>University of Hawaii System; University of Hawaii Manoa; University of Copenhagen; China University of Geosciences; UK Research &amp; Innovation (UKRI); Natural Environment Research Council (NERC); NERC British Antarctic Survey; University of Bern</t>
  </si>
  <si>
    <t>Mahoney, JJ (corresponding author), Univ Hawaii Manoa, Sch Ocean &amp; Earth Sci &amp; Technol, Honolulu, HI 96822 USA.</t>
  </si>
  <si>
    <t>jmahoney@soest.hawaii.edu</t>
  </si>
  <si>
    <t>Nägler, Thomas F/JBJ-7205-2023; Nägler, Thomas F/I-8136-2015; Frei, Robert/N-6798-2014</t>
  </si>
  <si>
    <t>Nägler, Thomas F/0000-0002-6919-0151; Frei, Robert/0000-0001-7708-9881</t>
  </si>
  <si>
    <t>0022-3530</t>
  </si>
  <si>
    <t>J PETROL</t>
  </si>
  <si>
    <t>J. Petrol.</t>
  </si>
  <si>
    <t>10.1093/petrology/39.7.1285</t>
  </si>
  <si>
    <t>104DN</t>
  </si>
  <si>
    <t>WOS:000074997800002</t>
  </si>
  <si>
    <t>Fiala, M; Kopczynska, EE; Jeandel, C; Oriol, L; Vetion, G</t>
  </si>
  <si>
    <t>Seasonal and interannual variability of size-fractionated phytoplankton biomass and community structure at station Kerfix, off the Kerguelen Islands, Antarctica</t>
  </si>
  <si>
    <t>SOUTHERN-OCEAN; SPECIES COMPOSITION; ELEPHANT-ISLAND; CHLOROPHYLL; AREA; NANOPLANKTON; ABUNDANCE; MATTER; WATERS; CARBON</t>
  </si>
  <si>
    <t>Time series of phytoplankton biomass and taxonomic composition have been obtained for the 3 years 1992, 1993 and 1994 in the northern part of the :Southern Ocean (station Kerfix, 50 degrees 40'S, 68 degrees 25'E). Autotrophic biomass was low throughout the year ( &lt;0.2 mg m(-3)), except during a short period in summer when a maximum of 1.2 mg chlorophyll Chl) a m(-3) was reached, During winter, the integrated biomass was low (&lt;10 mg m(-2)) and associated with deeply mixed water, whereas the high summer biomass (&gt;20 mg m(-2)) was associated with increased water column stability. During summer blooms, the &gt;10 mu m size fraction contributed 60% to total integrated biomass. Large autotrophic dinoflagellates, mainly Prorocentrum spp., were associated with the summer phytoplankton maxima and accounted for &gt;80% of the total autotroph carbon biomass. In November and December, the presence of the large heterotrophic dinoflagellates Protoperidinium spp. and Gyrodinium spp. contributed a high proportion of total carbon biomass. During winter, the &lt;10 mu m size fraction contributed 80% of total Chi a biomass with domination of the picoplankton size fraction. The natural assemblage included mainly naked flagellates such as species of the Prasinophyceae, Cryptophyceae and Prymnesiophyceae. During spring, picocyanobacteria occurred in sub-surface water with a maximum abundance in September of 10(6) cells l(-1).</t>
  </si>
  <si>
    <t>Univ Paris 06, Lab Arago, CNRS, UMR 7621, F-66650 Banyuls sur Mer, France; Polish Acad Sci, Dept Antarctic Biol, PL-02141 Warsaw, Poland; Observ Midi Pyrenees, CNRS, UMR 5566, F-31400 Toulouse, France</t>
  </si>
  <si>
    <t>Centre National de la Recherche Scientifique (CNRS); CNRS - National Institute for Earth Sciences &amp; Astronomy (INSU); Sorbonne Universite; Polish Academy of Sciences; Universite de Toulouse; Universite Toulouse III - Paul Sabatier; Centre National de la Recherche Scientifique (CNRS); Institut de Recherche pour le Developpement (IRD); Laboratoire d'Etudes en Geophysique et oceanographie spatiales; CNRS - National Institute for Earth Sciences &amp; Astronomy (INSU)</t>
  </si>
  <si>
    <t>Fiala, M (corresponding author), Univ Paris 06, Lab Arago, CNRS, UMR 7621, F-66650 Banyuls sur Mer, France.</t>
  </si>
  <si>
    <t>10.1093/plankt/20.7.1341</t>
  </si>
  <si>
    <t>108HJ</t>
  </si>
  <si>
    <t>WOS:000075260000010</t>
  </si>
  <si>
    <t>Boussès, P; Chapuis, JL</t>
  </si>
  <si>
    <t>Deferred seasonal increase in testes weight under poor nutritional conditions in a sub-Antarctic population of rabbits (Oryctolagus cuniculus)</t>
  </si>
  <si>
    <t>Oryctolagus cuniculus; European rabbit; reproduction; testes cycle; sub-Antarctic islands</t>
  </si>
  <si>
    <t>EUROPEAN RABBIT; WILD RABBIT; RED DEER; TESTOSTERONE; REGRESSION; MORTALITY; MONKEYS</t>
  </si>
  <si>
    <t>The annual cycle of testes weight of adult male rabbits (Oryctolagus cuniculus) was studied in three populations on the sub-Antarctic Kerguelen archipelago during 1984-85. This study was completed in April 1987 with an analysis of differences in diet quality between populations, assessed by the proportion of nitrogen and lignin in stomach contents. A marked annual cycle of testes weight was observed in all populations, with a rapid fall in testes weight from February to March. As in most rabbit populations studied elsewhere, testes growth resumed immediately in two populations (called Morne and Molloy). In contrast, testes growth was deferred by five to six months in the third population (Armor), subject to harsher environmental conditions. Moreover, a larger proportion of the Armor males had inactive testes during the reproductive season. The diet of the Armor population was characterized by low nitrogen and high lignin content, suggesting poor-quality diet as an immediate cause of deferred testes growth. We propose that reduced testes size during adverse conditions might be adaptive by increasing survival probability through reduction of basal metabolism and limitation of agonistic and reproductive activities, behaviours which are costly in terms of high energetic expenditure. However, at the population level, the timing of the breeding season was not related to the cycle of male testes weight and thus seems to depend on females' condition.</t>
  </si>
  <si>
    <t>Univ Rennes 1, Lab Evolut Syst Nat &amp; Modifies, Museum Natl Hist Nat, UMR 6553, F-75005 Paris, France</t>
  </si>
  <si>
    <t>Centre National de la Recherche Scientifique (CNRS); CNRS - Institute of Ecology &amp; Environment (INEE); Museum National d'Histoire Naturelle (MNHN); Universite de Rennes</t>
  </si>
  <si>
    <t>Univ Rennes 1, Lab Evolut Syst Nat &amp; Modifies, Museum Natl Hist Nat, UMR 6553, 36 Rue Geoffroy St Hilaire, F-75005 Paris, France.</t>
  </si>
  <si>
    <t>1469-7998</t>
  </si>
  <si>
    <t>115MU</t>
  </si>
  <si>
    <t>WOS:000075669600006</t>
  </si>
  <si>
    <t>Bischof, K; Hanelt, D; Wiencke, C</t>
  </si>
  <si>
    <t>UV-radiation can affect depth-zonation of Antarctic macroalgae</t>
  </si>
  <si>
    <t>ULTRAVIOLET-B RADIATION; CHLOROPHYLL FLUORESCENCE; CHLOROPLAST MEMBRANES; MARINE MACROALGAE; PROTEIN DAMAGE; PHOTOSYNTHESIS; PHOTOINHIBITION; ALGAE; PHYTOPLANKTON; INHIBITION</t>
  </si>
  <si>
    <t>Due to depletion of stratospheric ozone over polar regions of the Northern and Southern Hemispheres UV-B-radiation has increased at the surface of the earth. Measurements of variable chlorophyll fluorescence were conducted to document UV-induced photoinhibition of photosystem II in cultivated macroalgae with different depth distributions in Antarctica. The reactions during artificial UV-exposure were observed on a short time scale (hours) and in light-dark cycles over several days. The nine species of investigated macroalgae show great differences in UV-tolerance of the photosynthetic process. Photosynthesis of the studied green algae was inhibited to a minor degree, while the brown algae showed an intermediate inhibition of photosynthesis. The response of the studied red algae varied with species. The differences in the degree of inhibition and recovery of photosynthetic efficiency and capacity indicate that UV-radiation is one important factor affecting the vertical distribution of macroalgae in nature.</t>
  </si>
  <si>
    <t>Bischof, K (corresponding author), Alfred Wegener Inst Polar &amp; Marine Res, D-27515 Bremerhaven, Germany.</t>
  </si>
  <si>
    <t>Hanelt, Dieter/E-6659-2017</t>
  </si>
  <si>
    <t>Bischof, Kai/0000-0002-4497-1920</t>
  </si>
  <si>
    <t>10.1007/s002270050351</t>
  </si>
  <si>
    <t>109EV</t>
  </si>
  <si>
    <t>WOS:000075309000002</t>
  </si>
  <si>
    <t>Barnes, DKA; Clarke, A</t>
  </si>
  <si>
    <t>Seasonality of polypide recycling and sexual reproduction in some erect Antarctic bryozoans</t>
  </si>
  <si>
    <t>SUBLITTORAL EPIFAUNAL COMMUNITIES; ICE-FOOT ZONE; SIGNY ISLAND; FEEDING-ACTIVITY; MARINE; INVERTEBRATES; ENVIRONMENTS; GROWTH</t>
  </si>
  <si>
    <t>The seasonality of polypide cycling has been investigated for three species of erect bryozoans from Antarctica: Isoseculiflustra rubefacta (Kluge, 1914), Nematoflustra flagellata (Waters, 1904) and Himantozoum antarcticum (Calvet, 1905). Approximately ten colonies of each species were collected monthly by SCUBA divers over a 14 mo period during 1992/1993, and the status of each individual zooid was classified as differentiating/regenerating, active (feeding autozooids), degenerate (brown body) or sexually reproductive (ovicells present, or zooid containing a larva). Polypide cycling in all three species was distinctly seasonal. New zooids formed at the growth margin and typically contained actively feeding polypides for similar or equal to 9 mo before these polypides degenerated into brown bodies in the austral winter (June). Very few polypides were active in the period from June to August, when water-column food levels were at their lowest; after this period new polypides differentiated. Individual zooids typically underwent a total of five (I. rubefacta and N. flagellata), or at least four (H. antarcticum) complete polypide cycles before becoming senescent. Polypide lifetimes generally became shorter as the age of the zooid increased. Sexual reproduction was also distinctly seasonal in these species, with bands of ovicells or sexually reproductive zooids being formed each year in late summer once a given colony had grown to a threshold size (or age). Larvae were then brooded for similar or equal to 10 mo before being released in January/February (N. flagellata) or February/March (H. antarcticum). The seasonal patterns of polypide cycling are related clearly to the variations in food availability, and these species appear to have the longest zooid lifetime (similar or equal to 5 yr) and the slowest polypide cycling (once per year with polypide lifetimes up to 10 mo) reported for any bryozoan so far.</t>
  </si>
  <si>
    <t>Univ Coll Cork, Dept Zool &amp; Anim Ecol, Cork, Ireland; British Antarctic Survey, Cambridge CB3 0ET, England</t>
  </si>
  <si>
    <t>University College Cork; UK Research &amp; Innovation (UKRI); Natural Environment Research Council (NERC); NERC British Antarctic Survey</t>
  </si>
  <si>
    <t>Clarke, A (corresponding author), British Antarctic Survey, High Cross,Madingley Rd, Cambridge CB3 0ET, England.</t>
  </si>
  <si>
    <t>10.1007/s002270050357</t>
  </si>
  <si>
    <t>WOS:000075309000008</t>
  </si>
  <si>
    <t>Reid, K; Nevitt, GA</t>
  </si>
  <si>
    <t>Observation of southern elephant seal, Mirounga leonina, feeding at sea near south Georgia</t>
  </si>
  <si>
    <t>Nat Environm Res Council, British Antarctic Survey, Cambridge CB3 0ET, England; Univ Calif Davis, Sect Neurobiol Physiol &amp; Behav, Davis, CA 95616 USA</t>
  </si>
  <si>
    <t>UK Research &amp; Innovation (UKRI); Natural Environment Research Council (NERC); NERC British Antarctic Survey; University of California System; University of California Davis</t>
  </si>
  <si>
    <t>Reid, K (corresponding author), Nat Environm Res Council, British Antarctic Survey, Madingley Rd, Cambridge CB3 0ET, England.</t>
  </si>
  <si>
    <t>10.1111/j.1748-7692.1998.tb00751.x</t>
  </si>
  <si>
    <t>ZW533</t>
  </si>
  <si>
    <t>WOS:000074420500017</t>
  </si>
  <si>
    <t>Engrand, C; Maurette, M</t>
  </si>
  <si>
    <t>Carbonaceous micrometeorites from Antarctica</t>
  </si>
  <si>
    <t>INTERPLANETARY DUST PARTICLES; POLYCYCLIC AROMATIC-HYDROCARBONS; SOLAR-SYSTEM; AMINO-ACIDS; HELIOCENTRIC DISTANCE; ISOTOPIC COMPOSITION; AQUEOUS ALTERATION; ATMOSPHERIC ENTRY; OXYGEN ISOTOPES; CHONDRITE GROUP</t>
  </si>
  <si>
    <t>Over 100 000 large interplanetary dust particles in the 50-500 mu m size range have been recovered in clean conditions from similar to 600 tons of Antarctic melt ice water as both unmelted and partially melted/dehydrated micrometeorites and cosmic spherules. Flux measurements in both the Greenland and Antarctica ice sheets indicate that the micrometeorites deliver to the Earth's surface similar to 2000x more extraterrestrial material than brought by meteorites. Mineralogical and chemical studies of Antarctic micrometeorites indicate that they are only related to the relatively rare CM and CR carbonaceous chondrite groups, being mostly chondritic carbonaceous objects composed of highly unequilibrated assemblages of anhydrous and hydrous minerals. However, there are also marked differences between these two families of solar system objects, including higher C/O ratios and a very marked depletion of chondrules in micrometeorite matter; hence, they are chondrites-without-chondrules. Thus, the parent meteoroids of micrometeorites represent a dominant and new population of solar system objects, probably formed in the outer solar system and delivered to the inner solar system by the most appropriate vehicles, comets. One of the major purposes of this paper is to discuss applications of micrometeorite studies that have been previously presented to exobiologists but deal with the synthesis of prebiotic molecules on the early Earth, and more recently, with the early history of the solar system.</t>
  </si>
  <si>
    <t>Univ Calif Los Angeles, Dept Earth &amp; Space Sci, Los Angeles, CA 90095 USA; Ctr Spectrometrie Nucl &amp; Spectrometrie Masse, F-91405 Orsay, France</t>
  </si>
  <si>
    <t>University of California System; University of California Los Angeles; Universite Paris Saclay</t>
  </si>
  <si>
    <t>Engrand, C (corresponding author), Univ Calif Los Angeles, Dept Earth &amp; Space Sci, Los Angeles, CA 90095 USA.</t>
  </si>
  <si>
    <t>engrand@argon.ess.ucla.edu</t>
  </si>
  <si>
    <t>1086-9379</t>
  </si>
  <si>
    <t>10.1111/j.1945-5100.1998.tb01665.x</t>
  </si>
  <si>
    <t>114GV</t>
  </si>
  <si>
    <t>WOS:000075601500005</t>
  </si>
  <si>
    <t>Krahenbuhl, U; Noll, K; Dobeli, M; Grambole, D; Herrmann, F; Tobler, L</t>
  </si>
  <si>
    <t>Exposure of Allan Hills 84001 and other achondrites on the Antarctic ice</t>
  </si>
  <si>
    <t>SNC METEORITES; ISOTOPIC COMPOSITION; PAST LIFE; CHONDRITES; CARBONATES; ALLAN-HILLS-84001; AKAGANEITE; HALOGENS; ALH84001; NAKHLA</t>
  </si>
  <si>
    <t>The enrichment of F on Antarctic meteorites is the result of their exposure to the atmosphere, and its measurement allows a subdivision of the terrestrial age into a duration of exposure on the ice and the time a meteorite was enclosed by the ice. In many cases, the periods of surface exposure are only small fractions of the terrestrial ages of meteorites collected in Antarctica. The enrichment of F on the surfaces of Antarctic achondrites was investigated by means of nuclear reaction analysis (NRA): scanning proton beams with an energy of 2.7 and 3.4 MeV were used to induce the reactions F-19(p,alpha gamma)160 and F-19(p,p'gamma)F-19, respectively. Gamma signals proportional to the F content were measured. The following Antarctic achondrites were investigated: Martian meteorite ALH 84001; diogenite ALHA77256; the eucrites ALHA81011 and ALHA78132; and in addition, the H5 chondrite ALHA79025. For ALH 84001, our data indicate a period of exposure on the ice of &lt;500 years. Thus, this specimen was enclosed in the ice &gt;95% of its terrestrial age of 13 000 years.</t>
  </si>
  <si>
    <t>Univ Bern, Dept Chem &amp; Biochem, CH-3012 Bern, Switzerland; ETH Zurich, IPPHPK H4, CH-8093 Zurich, Switzerland; Rossendorf Inc, Forschungszentrum Rossendorf EV, Inst Ionenstrahlphys &amp; Mat Forsch, D-01314 Dresden, Germany; Paul Scherrer Inst, CH-5232 Villigen, Switzerland</t>
  </si>
  <si>
    <t>University of Bern; Swiss Federal Institutes of Technology Domain; ETH Zurich; Helmholtz Association; Helmholtz-Zentrum Dresden-Rossendorf (HZDR); Swiss Federal Institutes of Technology Domain; Paul Scherrer Institute</t>
  </si>
  <si>
    <t>Krahenbuhl, U (corresponding author), Univ Bern, Dept Chem &amp; Biochem, Freiestr 3, CH-3012 Bern, Switzerland.</t>
  </si>
  <si>
    <t>WOS:000075601500011</t>
  </si>
  <si>
    <t>Sears, DWG; Kral, TA</t>
  </si>
  <si>
    <t>Martian microfossils in lunar meteorites?</t>
  </si>
  <si>
    <t>ANTARCTIC METEORITE; EXPOSURE HISTORY; CARBONATES; HILLS; LIFE</t>
  </si>
  <si>
    <t>One of the five lines of evidence used by McKay et al. (1996) for relic life in the Martian meteorite Allan Hills (ALH) 84001 was the presence of objects thought to be microfossils. These ovoid and elongated forms are similar to structures found in terrestrial rocks and described as nanobacteria (Folk, 1993; McBride et al., 1994). Using the same procedures and apparatus as McKay ef al. (1996), we have found structures on internal fracture surfaces of lunar meteorites that cannot be distinguished from the objects described on similar surfaces in ALH 84001. The lunar surface is currently a sterile environment and probably always has been. However, the lunar and Martian meteorites share a common terrestrial history, which includes many thousands of years of exposure to Antarctic weathering. Although we do not know the origin of these ovoid and elongated forms, we suggest that their presence on lunar meteorites indicates that the objects described by McKay et al. (1996) are not of Martian biological origin.</t>
  </si>
  <si>
    <t>Univ Arkansas, Dept Chem &amp; Biochem, Fayetteville, AR 72701 USA; Univ Arkansas, Dept Biol Sci, Fayetteville, AR 72701 USA</t>
  </si>
  <si>
    <t>University of Arkansas System; University of Arkansas Fayetteville; University of Arkansas System; University of Arkansas Fayetteville</t>
  </si>
  <si>
    <t>Sears, DWG (corresponding author), Univ Arkansas, Dept Chem &amp; Biochem, Fayetteville, AR 72701 USA.</t>
  </si>
  <si>
    <t>10.1111/j.1945-5100.1998.tb01685.x</t>
  </si>
  <si>
    <t>WOS:000075601500025</t>
  </si>
  <si>
    <t>Yamamoto, T; Hashizume, K; Matsuda, J; Kase, T</t>
  </si>
  <si>
    <t>Multiple nitrogen isotopic components coexisting in ureilites</t>
  </si>
  <si>
    <t>VAPOR-GROWTH DIAMONDS; NOBLE-GASES; NEBULAR PROCESSES; IRON-METEORITES; ORIGIN; CARBON; SHOCK; ABUNDANCES; CHONDRITES; MINERALOGY</t>
  </si>
  <si>
    <t>Nitrogen and noble gas isotopic compositions and C abundance of ureilites were analyzed using a stepwise combustion technique. Four Antarctic ureilites, ALHA77257, Asuka 881931, Yamato 791538 and Yamato 790981 were analyzed. Multiple N isotopic components were observed in these ureilites. The delta(15)N values of these N components ranged from +160 to -120 parts per thousand. The minimum delta(15)N values of typically -120 parts per thousand were observed at combustion temperatures at 700-900 degrees C where large amounts of C were released. A heavy N component was observed in only two ureilites, ALHA77257 and Asuka 881931. Silicate-enriched fractions and C-concentrated fractions were prepared for these two ureilites. We conclude that both the light N and the heavy N are trapped in the carbonaceous vein minerals. The lack of correlation between the NIC ratio and the Ar-36/C ratio suggests that the primary carrier phase of the light N does not correspond to that of the planetary noble gases. We consider that the isotopically heavy N, which was observed in this study, is related to the heavy N observed among polymict ureilites. Small amounts (&lt;0.5 ppm) of light N with the minimum delta(15)N value of-120 parts per thousand were observed among the silicate fractions at the highest combustion temperature of 1200 degrees C, although the exact carrier phase of this light N is not known. We consider that the currently observed ureilites were produced by injection of several volatile-rich objects into volatile-poor ureilitic silicates.</t>
  </si>
  <si>
    <t>Osaka Univ, Grad Sch Sci, Dept Earth &amp; Space Sci, Osaka 5600043, Japan</t>
  </si>
  <si>
    <t>Osaka University</t>
  </si>
  <si>
    <t>Hashizume, K (corresponding author), CNRS, Ctr Rech Petrog &amp; Geochim, 15 Rue Notre Dame Pauvres,BP 20, F-54501 Vandoeuvre Nancy, France.</t>
  </si>
  <si>
    <t>10.1111/j.1945-5100.1998.tb01692.x</t>
  </si>
  <si>
    <t>WOS:000075601500032</t>
  </si>
  <si>
    <t>Gounelle, M; Maurette, M; Engrand, C; Kurat, G</t>
  </si>
  <si>
    <t>Cometary origin for Antarctic micrometeorites: New experimental evidence.</t>
  </si>
  <si>
    <t>Nat Hist Museum, A-1014 Vienna, Austria; Univ Calif Los Angeles, Dept Earth &amp; Space Sci, Los Angeles, CA 90095 USA; Ctr Spectrometrie Nucl &amp; Spectrometrie Masse, F-91405 Orsay, France</t>
  </si>
  <si>
    <t>A61</t>
  </si>
  <si>
    <t>117JK</t>
  </si>
  <si>
    <t>WOS:000075778000107</t>
  </si>
  <si>
    <t>Imae, N; Shinoda, K</t>
  </si>
  <si>
    <t>An experimental study of hydrous mineral formation reaction between enstatite and water vapor.</t>
  </si>
  <si>
    <t>Osaka City Univ, Fac Sci, Dept Geosci, Osaka 5588585, Japan; Natl Inst Polar Res, Antarctic Meteorite Res Ctr, Tokyo 1738515, Japan</t>
  </si>
  <si>
    <t>Osaka Metropolitan University; Research Organization of Information &amp; Systems (ROIS); National Institute of Polar Research (NIPR) - Japan</t>
  </si>
  <si>
    <t>A73</t>
  </si>
  <si>
    <t>A74</t>
  </si>
  <si>
    <t>WOS:000075778000131</t>
  </si>
  <si>
    <t>Kallemeyn, GW</t>
  </si>
  <si>
    <t>Further studies of Antarctic R chondrites.</t>
  </si>
  <si>
    <t>Tokyo Metropolitan Univ, Grad Sch Sci, Dept Chem, Tokyo 1920397, Japan</t>
  </si>
  <si>
    <t>Tokyo Metropolitan University</t>
  </si>
  <si>
    <t>A80</t>
  </si>
  <si>
    <t>A81</t>
  </si>
  <si>
    <t>WOS:000075778000143</t>
  </si>
  <si>
    <t>Kitts, K; Lodders, K</t>
  </si>
  <si>
    <t>Survey and evaluation of eucrite bulk compositions</t>
  </si>
  <si>
    <t>61st Annual Meeting of the Meteoritical-Society</t>
  </si>
  <si>
    <t>JUL 27-31, 1998</t>
  </si>
  <si>
    <t>TRINITY COLL, DUBLIN, IRELAND</t>
  </si>
  <si>
    <t>TRINITY COLL</t>
  </si>
  <si>
    <t>PARENT BODY; TRACE-ELEMENTS; BASALTIC ACHONDRITES; ANTARCTIC EUCRITES; SOLAR-SYSTEM; METEORITES; HISTORY; VESTA; CLASSIFICATION; METAMORPHISM</t>
  </si>
  <si>
    <t>The purpose of this survey is to establish reference bulk elemental abundances for the eucrites and thereby provide the basis to test core formation models as well as partial melting, fractional crystallization and magma ocean theories for the eucrite parent body. In order to evaluate bulk elemental abundances for the eucrites, 296 peer-reviewed articles, monographs, theses or books and 143 abstracts dating from 1938 to 1997 were surveyed. Of the 101 eucrites having at least one set of elemental abundance analyses reported in the literature, 20 were selected for in-depth examination. The selection criteria of our sample were based on the total number of analyses available for a given eucrite and the total number of elements for which data exist. The mean bulk elemental abundance, lo standard deviation, and the percent deviation were calculated for each element in a given eucrite. In order to evaluate the quality of the mean abundances, the elements were then grouped according to availability of data and percent deviations. Possible reasons for the different deviations in the different groups are briefly discussed. From the major element abundances, the normative (CIPW) composition, the molar compositions of pyroxene, olivine and plagioclase, and the bulk densities were calculated and compared to petrographic observations. The calculated norms for the noncumulates agree well with the observations while the norms for the cumulates do not. Possible reasons for this are discussed. Unfortunately, analyses of many elements are poorly represented in the literature and many bulk analyses suffer from unacceptable levels of uncertainty. Therefore, future work requires bulk elemental analyses for some of the more poorly characterized elements in eucrites, especially those of key elements used for planetary modeling.</t>
  </si>
  <si>
    <t>Washington Univ, Dept Earth &amp; Planetary Sci, Planetary Chem Lab, St Louis, MO 63130 USA</t>
  </si>
  <si>
    <t>Washington University (WUSTL)</t>
  </si>
  <si>
    <t>Kitts, K (corresponding author), Washington Univ, Dept Earth &amp; Planetary Sci, Planetary Chem Lab, 1 Brookings Dr,Campus Box 1169, St Louis, MO 63130 USA.</t>
  </si>
  <si>
    <t>kitts@levee.wustl.edu</t>
  </si>
  <si>
    <t>Lodders, Katharina/0000-0001-7531-626X</t>
  </si>
  <si>
    <t>A197</t>
  </si>
  <si>
    <t>A213</t>
  </si>
  <si>
    <t>10.1111/j.1945-5100.1998.tb01334.x</t>
  </si>
  <si>
    <t>WOS:000075778000321</t>
  </si>
  <si>
    <t>Noll, K; Dobeli, M; Grambole, D; Herrmann, F; Krahenbuhl, U</t>
  </si>
  <si>
    <t>Fluorine enrichment on the surface of Antarctic C30 and H chondrites by nuclear reaction analysis (NRA) and the sources of this terrestrial fluorine.</t>
  </si>
  <si>
    <t>Rossendorf Inc, Forschungszentrum Rossendorf EV, D-01314 Dresden, Germany; Paul Scherrer Inst, CH-5232 Villigen, Switzerland; ETH Zurich, Inst Theoret Phys, CH-8093 Zurich, Switzerland; Univ Bern, Dept Chem &amp; Biochem, CH-3012 Bern, Switzerland</t>
  </si>
  <si>
    <t>Helmholtz Association; Helmholtz-Zentrum Dresden-Rossendorf (HZDR); Swiss Federal Institutes of Technology Domain; Paul Scherrer Institute; Swiss Federal Institutes of Technology Domain; ETH Zurich; University of Bern</t>
  </si>
  <si>
    <t>A118</t>
  </si>
  <si>
    <t>A119</t>
  </si>
  <si>
    <t>WOS:000075778000212</t>
  </si>
  <si>
    <t>Steele, A; Goddard, DT; Toporski, JKW; Stapleton, D; Wynn-Williams, DD; McKay, D</t>
  </si>
  <si>
    <t>Terrestrial contamination of an Antarctic chondrite.</t>
  </si>
  <si>
    <t>British Antarctic Survey, Cambridge CB3 0ET, England; Univ Portsmouth, Dept Geol, Portsmouth PO1 2DT, Hants, England; British Nucl Fuels PLC, Res &amp; Technol, Preston PR4 0XJ, Lancs, England; NASA, Lyndon B Johnson Space Ctr, Houston, TX 77058 USA</t>
  </si>
  <si>
    <t>UK Research &amp; Innovation (UKRI); Natural Environment Research Council (NERC); NERC British Antarctic Survey; University of Portsmouth; National Aeronautics &amp; Space Administration (NASA); NASA Johnson Space Center</t>
  </si>
  <si>
    <t>Steele, Andrew/A-3573-2013</t>
  </si>
  <si>
    <t>Steele, Andrew/0000-0001-9643-2841</t>
  </si>
  <si>
    <t>1945-5100</t>
  </si>
  <si>
    <t>A149</t>
  </si>
  <si>
    <t>WOS:000075778000272</t>
  </si>
  <si>
    <t>Weber, HW; Schultz, L</t>
  </si>
  <si>
    <t>Noble gases in the Antarctic R chondrites Mount Prestrud 95410, 95411, and 95412.</t>
  </si>
  <si>
    <t>A164</t>
  </si>
  <si>
    <t>A165</t>
  </si>
  <si>
    <t>WOS:000075778000300</t>
  </si>
  <si>
    <t>Abyzov, SS; Mitskevich, IN; Poglazova, MN</t>
  </si>
  <si>
    <t>Microflora of the deep glacier horizons of Central Antarctica</t>
  </si>
  <si>
    <t>MICROBIOLOGY</t>
  </si>
  <si>
    <t>Antarctic continent; glacier; microorganisms; anabiosis</t>
  </si>
  <si>
    <t>Microorganisms were detected in samples taken from different horizons of the glacier of Central Antarctica (at depths of 1500-2750 m), whose age is over 240 000 years. Microscopic studies of microorganisms from thawed water samples taken from the center of the glacier core (precipitated on membrane filters and stained with fluorescent dyes) revealed that they contained a wide variety of microorganisms. Bacteria prevailed, although yeasts, fungi, and microalgae also occurred. Some horizons also contained the pollen of higher plants and dust particles of various origins. Consumption of C-14-labeled organic compounds by most thawed samples testified to the presence of viable cells in them. The total microorganism number at depths of 1500-2750 m was 0.8 x 10(3) to 10.8 x 10(3) cells/ml. Fluctuations in the number of microorganisms throughout the glacier correlated with changes in the number of mineral particles detected by glaciologists in the respective glacier horizons, which, according to their calculations, depended on alternations of warm and cold periods an Earth.</t>
  </si>
  <si>
    <t>Abyzov, SS (corresponding author), Russian Acad Sci, Inst Microbiol, Pr 60 Letia Oktyabrya 7,K2, Moscow 117811, Russia.</t>
  </si>
  <si>
    <t>MAIK NAUKA/INTERPERIODICA</t>
  </si>
  <si>
    <t>C/O PLENUM/CONSULTANTS BUREAU 233 SPRING ST, NEW YORK, NY 10013 USA</t>
  </si>
  <si>
    <t>0026-2617</t>
  </si>
  <si>
    <t>MICROBIOLOGY+</t>
  </si>
  <si>
    <t>112YG</t>
  </si>
  <si>
    <t>WOS:000075522000017</t>
  </si>
  <si>
    <t>Joyner, CC</t>
  </si>
  <si>
    <t>United States legislation and the polar oceans</t>
  </si>
  <si>
    <t>OCEAN DEVELOPMENT AND INTERNATIONAL LAW</t>
  </si>
  <si>
    <t>Antarctic; Arctic; polar oceans; United States legislation</t>
  </si>
  <si>
    <t>The United States has important national interests vested in both the Arctic and Antarctic Oceans. Thus, in recent decades the United States has progressively codified its national commitment to conserve and manage both these marine regions and their resources and to protect them from activities that might produce adverse impacts. The U.S legislation passed since the 1960s selectively affects both polar regions and supports major American policy objectives there: to maintain the Arctic and Antarctic as areas of international cooperation for peaceful purposes; to satisfy economic needs, especially hydrocarbon, mineral, and living resources; to protect opportunities for scientific research, to protect the marine environment,. and to conserve living resources in the circumpolar seas. Future trends suggest a shift in U.S. policy attention to the Arctic. Accordingly, new U.S. legislation will be needed to regulate increased activities in the polar north.</t>
  </si>
  <si>
    <t>Georgetown Univ, Dept Govt, Washington, DC 20057 USA</t>
  </si>
  <si>
    <t>Georgetown University</t>
  </si>
  <si>
    <t>Joyner, CC (corresponding author), Georgetown Univ, Dept Govt, Washington, DC 20057 USA.</t>
  </si>
  <si>
    <t>TAYLOR &amp; FRANCIS INC</t>
  </si>
  <si>
    <t>PHILADELPHIA</t>
  </si>
  <si>
    <t>325 CHESTNUT ST, SUITE 800, PHILADELPHIA, PA 19106 USA</t>
  </si>
  <si>
    <t>0090-8320</t>
  </si>
  <si>
    <t>OCEAN DEV INT LAW</t>
  </si>
  <si>
    <t>Ocean Dev. Int. Law</t>
  </si>
  <si>
    <t>JUL-SEP</t>
  </si>
  <si>
    <t>10.1080/00908329809546126</t>
  </si>
  <si>
    <t>International Relations; Law</t>
  </si>
  <si>
    <t>International Relations; Government &amp; Law</t>
  </si>
  <si>
    <t>119GX</t>
  </si>
  <si>
    <t>WOS:000075888500003</t>
  </si>
  <si>
    <t>Moreno, J; de Leon, A; Fargallo, JA; Moreno, E</t>
  </si>
  <si>
    <t>Breeding time, health and immune response in the chinstrap penguin Pygoscelis antarctica</t>
  </si>
  <si>
    <t>antarctica; breeding failure; serological variables; T-cell-mediated immunity; timing of breeding</t>
  </si>
  <si>
    <t>MAJOR HISTOCOMPATIBILITY COMPLEX; GUILLEMOT URIA-AALGE; CLUTCH-SIZE; SEASONAL DECLINE; GREAT TIT; REPRODUCTIVE-PERFORMANCE; NUTRIENT RESERVES; HERRING-GULLS; HATCHING DATE; LAYING DATE</t>
  </si>
  <si>
    <t>Health status and immunocompetence have been proposed as important factors affecting individual variation in the attainment of breeding condition in birds. We studied individual variation in serological variables indicating health status (blood sedimentation rate, haematocrit, 'buffy coat' layer. proportions of different types of leucocytes) in two groups of breeding chinstrap penguins Pygoscelis antarctica with breeding dates 9 days apart. We sampled these individuals shortly after hatching of their young and at the end of the chick-raising period. A group of failed breeders was also sampled. Birds of both sexes were included. We also measured the T-cell-mediated immune response as indicated by an in vivo hypersensitivity response to an intradermal injection of a mitogen (phytohaemagglutinin) in early and late breeders. Sex had no significant effect on most variables. Late breeders had poorer health (more leucocytes, especially heterophils and lymphocytes) and a lower T-cell-mediated immune response than early breeders. Failed breeders were more similar to late than to early breeders. Early breeders suffered a decline in health status throughout the chick-raising period. The impact of pathogens on variation in life history traits in avian populations may be important even in extreme Antarctic environments.</t>
  </si>
  <si>
    <t>CSIC, Museo Nacl Ciencias Nat, Dept Ecol Evolut, E-28006 Madrid, Spain</t>
  </si>
  <si>
    <t>Consejo Superior de Investigaciones Cientificas (CSIC); CSIC - Museo Nacional de Ciencias Naturales (MNCN)</t>
  </si>
  <si>
    <t>Moreno, J (corresponding author), CSIC, Museo Nacl Ciencias Nat, Dept Ecol Evolut, J Gutierrez Abascal 2, E-28006 Madrid, Spain.</t>
  </si>
  <si>
    <t>jmoreno@mncn.csic.es</t>
  </si>
  <si>
    <t>Fargallo, Juan A/I-5585-2015; Moreno, Juan/AAB-1307-2019; Moreno, Eulalia/D-4230-2014</t>
  </si>
  <si>
    <t>Moreno, Juan/0000-0003-1508-7295; Moreno, Eulalia/0000-0002-7197-5679</t>
  </si>
  <si>
    <t>10.1007/s004420050522</t>
  </si>
  <si>
    <t>101PM</t>
  </si>
  <si>
    <t>WOS:000074877400004</t>
  </si>
  <si>
    <t>Koshlyakov, MN; Romanov, AA; Romanov, YA</t>
  </si>
  <si>
    <t>El Nino - Southern oscillation and iceberg distribution in the Pacific Antarctic</t>
  </si>
  <si>
    <t>SEA-ICE; CIRCUMPOLAR WAVE; SECTOR; OCEAN; TEMPERATURE; PENINSULA; PRESSURE; RETREAT; EVENT; WIND</t>
  </si>
  <si>
    <t>Iceberg observations, carried out during 1981-1994 from the Russian scientific vessels in the Pacific Antarctic, show an interannual variability in the iceberg distribution. Icebergs move by several degrees to the north in the EI Nine years and to the south in the intermediate years in the Pacific Antarctic eastern part and to opposite directions in the western part. Computation of the icebergs drift by wind and current was done on the ground of the monthly charts of surface atmosphere pressure anomaly for the Southern Hemisphere and by means of the results of current measurements on the WOCE section of 1992 along 67 degrees S. As follows from this computation, the initial cause of the icebergs redistribution is an extensive and long positive surface pressure anomaly, which is developed in the Pacific Antarctic during the negative phase of ENSO and is replaced by a negative anomaly during its positive phase. The integral icebergs meridional displacement of 660 km, that was obtained from the calculation, is enough for the explanation of real iceberg redistribution.</t>
  </si>
  <si>
    <t>PP Shirshov Oceanol Inst, Moscow, Russia; Arctic &amp; Antarctic Res Inst, St Petersburg 199226, Russia</t>
  </si>
  <si>
    <t>Russian Academy of Sciences; Shirshov Institute of Oceanology; Arctic &amp; Antarctic Research Institute</t>
  </si>
  <si>
    <t>Romanov, Yury/S-6708-2016</t>
  </si>
  <si>
    <t>124BB</t>
  </si>
  <si>
    <t>WOS:000076159500001</t>
  </si>
  <si>
    <t>Saidova, KM</t>
  </si>
  <si>
    <t>Benthic foraminifera communities of the Southern Ocean</t>
  </si>
  <si>
    <t>MCMURDO SOUND; ANTARCTICA; ECOLOGY; SEA</t>
  </si>
  <si>
    <t>Based on the results of quantative analysis of benthic foraminifera at 552 stations (depth internal 20-5500 m) in the Southern Ocean 40 communities were specified and mapped according to the quantity of previail species. Communities in which agglutinate foraminifera prevails are disposed: on the Antarctic shelf where the water temperature is in the renge -1.9...-1.5 degrees C, at the upper parts of continental slope in the places of continuosly down flon of cold water (temperature below -1 degrees C), at the lower part of continental slope and in deep oceanic basins where the water temperature is below 0 degrees C. At all mentioned levels (exept the deep basins where concentration of CaCO3 is 70% and lower) where the water temperature is higher than mentioned one, the foraminifera communities with calcareous secretion test disposed.</t>
  </si>
  <si>
    <t>Saidova, KM (corresponding author), PP Shirshov Oceanol Inst, Moscow, Russia.</t>
  </si>
  <si>
    <t>WOS:000076159500012</t>
  </si>
  <si>
    <t>Coltman, DW; Bowen, WD; Iverson, SJ; Boness, DJ</t>
  </si>
  <si>
    <t>The energetics of male reproduction in an acquatically mating pinniped, the harbour seal</t>
  </si>
  <si>
    <t>PHYSIOLOGICAL ZOOLOGY</t>
  </si>
  <si>
    <t>ANTARCTIC FUR SEALS; HYDROGEN ISOTOPE-DILUTION; PHOCA-VITULINA; HALICHOERUS-GRYPUS; BODY-COMPOSITION; GRAY SEALS; ARCTOCEPHALUS-GAZELLA; ENERGY-REQUIREMENTS; URINARY LOSSES; HOODED SEALS</t>
  </si>
  <si>
    <t>The energy expenditure of breeding male harbour seals, Phoca vitulina, on Sable Island, Nova Scotia, was investigated by measuring changes in body mass, body composition, and water flux using isotope dilution. Seals lost 0.47% +/- 0.04% (n = 34) of their initial mass per day during the breeding season (4 wk), and fat, water, and protein accounted for 64.3% +/- 4.8%, 27.8% +/- 3.3%, and 6.9% +/- 1.4% of this mass loss, respectively (n = 31). Total energy expenditure was estimated as 33.3 +/- 1.9 MJ d(-1), or 3.9 +/- 0.2 W kg(-1) (n = 17), similar to rates measured in terrestrially mating pinniped species. However, unlike terrestrially mating pinnipeds, male harbour seals did not fast during the breeding season, and energy intake from foraging accounted for 61.8% +/- 4.0% of the total energy expended. Males derived most of their expended energy from food intake early in. the breeding season. However, as oestrus females became increasingly available, reduced rates of food intake in males were coupled with increased rates of total energy expenditure. Larger males expended significantly more energy from body stores and more total energy than smaller males. Male harbour seals appeared to balance the energetic costs of reproduction against the constraints of small body size by foraging during deep-diving trips before the appearance of oestrus females and by opportunistic feeding throughout the breeding season while at sea. We suggest that size dimorphism may be less pronounced in aquatically mating pinnipeds partly because the temporal and spatial separation of foraging and reproduction is less distinct than it is for terrestrially breeding pinnipeds.</t>
  </si>
  <si>
    <t>Dalhousie Univ, Dept Biol, Halifax, NS B3J 4J1, Canada; Fisheries &amp; Oceans Canada, Bedford Inst Oceanog, Marine Fish Div, Dartmouth, NS B24 4A2, Canada; Smithsonian Inst, Natl Zool Pk, Dept Zool Res, Washington, DC 20008 USA</t>
  </si>
  <si>
    <t>Dalhousie University; Fisheries &amp; Oceans Canada; Bedford Institute of Oceanography; Smithsonian Institution; Smithsonian National Zoological Park &amp; Conservation Biology Institute</t>
  </si>
  <si>
    <t>Coltman, DW (corresponding author), Univ Edinburgh, Inst Cell Anim &amp; Populat Biol, Edinburgh EH9 3JT, Midlothian, Scotland.</t>
  </si>
  <si>
    <t>david.coltman@ed.ac.uk</t>
  </si>
  <si>
    <t>Bowen, William/AAE-7204-2022; Bowen, William D/D-2758-2012; Coltman, Dave/HZL-7279-2023</t>
  </si>
  <si>
    <t>Bowen, William/0000-0001-8334-5677; Coltman, Dave/0000-0002-1268-2307; Iverson, Sara/0000-0003-2842-4094</t>
  </si>
  <si>
    <t>0031-935X</t>
  </si>
  <si>
    <t>PHYSIOL ZOOL</t>
  </si>
  <si>
    <t>Physiol. Zool.</t>
  </si>
  <si>
    <t>10.1086/515418</t>
  </si>
  <si>
    <t>ZY266</t>
  </si>
  <si>
    <t>WOS:000074602900005</t>
  </si>
  <si>
    <t>Cantero, ALP; Vervoort, W</t>
  </si>
  <si>
    <t>On two new species of Oswaldella Stechow, 1919 (Cnidaria, Hydrozoa) from Bransfield Strait (Antarctica)</t>
  </si>
  <si>
    <t>Two species of the genus Oswaldella Stechow, 1919 new to science (Oswaldella crassa sp. nov. and O. curiosa sp. nov.) were studied. Both species are described and figured; their systematic position amongst the remaining species of the genus is discussed. The material originates from the Bransfield Strait area (Antarctica) and was collected during the United States Antarctic Research Program with R.V. Eltanin. A comparative table listing the main features of the known species of Oswaldella is presented. Finally, a general survey of geographical and bathymetrical distribution of the known species of Oswaldella is given.</t>
  </si>
  <si>
    <t>Univ Valencia, Fac Ciencias Biol, Dept Anim Biol, E-46100 Burjassot, Spain; Natl Museum Nat Hist, Leiden, Netherlands</t>
  </si>
  <si>
    <t>University of Valencia</t>
  </si>
  <si>
    <t>Cantero, ALP (corresponding author), Univ Valencia, Fac Ciencias Biol, Dept Anim Biol, Dr Moliner 50, E-46100 Burjassot, Spain.</t>
  </si>
  <si>
    <t>Cantero, Álvaro Luis Peña/F-7888-2016</t>
  </si>
  <si>
    <t>Pena Cantero, Alvaro/0000-0003-3056-6673</t>
  </si>
  <si>
    <t>100KB</t>
  </si>
  <si>
    <t>WOS:000074814400004</t>
  </si>
  <si>
    <t>Jackson, GD; McKinnon, JF; Lalas, C; Ardern, R; Buxton, NG</t>
  </si>
  <si>
    <t>Food spectrum of the deepwater squid Moroteuthis ingens (Cephalopoda: Onychoteuthidae) in New Zealand waters</t>
  </si>
  <si>
    <t>ANTARCTIC POLAR FRONT; EASTERN TASMANIA; STOMACH CONTENTS; SOUTHERN-OCEAN; FISH; PREY; AUSTRALIA; PLATEAU; GROWTH; SEALS</t>
  </si>
  <si>
    <t>Prey species of the deepwater squid Moroteuthis ingens were examined for 37 large specimens captured in New Zealand waters. Caecum contents were predominantly less than 80% full and covered a range of digestion stages. The diet consisted of fish (at least seven species, of which four were myctophids) and squid. The most abundant prey was the myctophid Lampanyctodes hectoris, which was represented by 1323 otoliths from 22 caeca. The second most abundant prey was viperfish (Chauliodus sloani) and/or dragonfish (Stomias boa), represented by 537 otoliths from 17 caeca. Individual squid appeared to ingest surprisingly large numbers of fish (up to 100) during a single feeding period and could achieve feeding rates greater than 10% of their body weight per day. While some males appeared to ingest larger numbers of L. hectoris, females targeted significantly larger individuals of L. hectoris thereby ingesting a greater biomass of fish.</t>
  </si>
  <si>
    <t>James Cook Univ N Queensland, Dept Marine Biol, Townsville, Qld 4811, Australia; Univ Otago, Dept Marine Sci, Dunedin, New Zealand; Synergy Informat Syst Ltd, Stanley, Falkland Isl, England</t>
  </si>
  <si>
    <t>James Cook University; University of Otago</t>
  </si>
  <si>
    <t>10.1007/s003000050276</t>
  </si>
  <si>
    <t>WOS:000074814400007</t>
  </si>
  <si>
    <t>Delgado, LE; Jana, R; Marin, VH</t>
  </si>
  <si>
    <t>Testing hypotheses on life cycle models for Antarctic calanoid copepods, using qualitative, winter, zooplankton samples</t>
  </si>
  <si>
    <t>RHINCALANUS-GIGAS; PROPINQUUS; ACUTUS</t>
  </si>
  <si>
    <t>We analysed qualitative winter zooplankton samples, collected from the ocean surface, to lest portions of proposed life-cycle models for Calanus propinquus. Nine zooplankton hauls were taken in the Bransfield Strait area during June 1996. Results show that C. propinquus is present in the ocean surface in winter. However, its presence seems to be related to ice coverage below 30%.</t>
  </si>
  <si>
    <t>Univ Chile, Fac Ciencias, Dept Ciencias Ecol, Santiago, Chile; Inst Antart Chileno, Santiago, Chile</t>
  </si>
  <si>
    <t>Universidad de Chile</t>
  </si>
  <si>
    <t>Marin, VH (corresponding author), Univ Chile, Fac Ciencias, Dept Ciencias Ecol, Casilla 653, Santiago, Chile.</t>
  </si>
  <si>
    <t>Jaña, Ricardo/AAR-1225-2020</t>
  </si>
  <si>
    <t>Jaña, Ricardo/0000-0003-3319-1168; Delgado, Luisa ELizabeth/0000-0002-8364-9993; Marin, Victor/0000-0003-2491-6825</t>
  </si>
  <si>
    <t>10.1007/s003000050278</t>
  </si>
  <si>
    <t>WOS:000074814400009</t>
  </si>
  <si>
    <t>Lane, AN; Hays, LM; Feeney, RE; Crowe, LM; Crowe, JH</t>
  </si>
  <si>
    <t>Conformational and dynamic properties of a 14 residue antifreeze glycopeptide from Antarctic cod</t>
  </si>
  <si>
    <t>PROTEIN SCIENCE</t>
  </si>
  <si>
    <t>antifreeze glycopeptides; conformation; local order; NMR relaxation</t>
  </si>
  <si>
    <t>NMR-SPECTROSCOPY; H-1-NMR SPECTROSCOPY; QUANTUM NMR; POLAR FISH; GLYCOPROTEIN; PROTON; PHASE; PROTEINS; ICE</t>
  </si>
  <si>
    <t>The H-1 and C-13 NMR spectra of a 14-residue antifreeze glycopeptide from Antarctic cod (Tetramatomus borchgrevinki) containing two proline residues have been assigned. C-13 NMR relaxation experiments indicate motional anisotropy of the peptide with a tumbling time in water at 5 degrees C of 3-4 ns. The relaxation data and lack of long-range NOEs are consistent with a linear peptide undergoing significant segmental motion. However, extreme values of some coupling constants and strong sequential NOEs indicate regions of local order, which are most evident at the two ATPA subsequences. Similar spectroscopic properties were observed in the 16-residue analogue containing an Arg-Ala dipeptide added to the C-terminus. Molecular modeling also showed no evidence of long-range order, but the two ATPA subsequences were relatively well determined by the experimental data. These motifs were quite distinct from helical structures or beta turns commonly found in proteins, but rather resemble sections of an extended polyproline helix. Thus, the NMR data provide a description of the local order, which is of relevance to the mechanism of action of the antifreeze activity of the antifreeze glycopeptides as well as their ability to protect cells during hypothermic storage.</t>
  </si>
  <si>
    <t>Natl Inst Med Res, Div Mol Struct, London NW7 1AA, England; Univ Calif Davis, Sect Mol &amp; Cellular Biol, Davis, CA 95616 USA; Univ Calif Davis, Dept Food Sci &amp; Technol, Davis, CA 95616 USA</t>
  </si>
  <si>
    <t>MRC National Institute for Medical Research; University of California System; University of California Davis; University of California System; University of California Davis</t>
  </si>
  <si>
    <t>Lane, AN (corresponding author), Natl Inst Med Res, Div Mol Struct, The Ridgeway,Mill Hill, London NW7 1AA, England.</t>
  </si>
  <si>
    <t>alane@nimr.mrc.ac.uk</t>
  </si>
  <si>
    <t>NHLBI NIH HHS [IRO1HL57810-01] Funding Source: Medline</t>
  </si>
  <si>
    <t>NHLBI NIH HHS(United States Department of Health &amp; Human ServicesNational Institutes of Health (NIH) - USANIH National Heart Lung &amp; Blood Institute (NHLBI))</t>
  </si>
  <si>
    <t>0961-8368</t>
  </si>
  <si>
    <t>PROTEIN SCI</t>
  </si>
  <si>
    <t>Protein Sci.</t>
  </si>
  <si>
    <t>10.1002/pro.5560070709</t>
  </si>
  <si>
    <t>ZZ732</t>
  </si>
  <si>
    <t>WOS:000074761600009</t>
  </si>
  <si>
    <t>Knight, JR; Austin, J; Grainger, RG; Lambert, A</t>
  </si>
  <si>
    <t>A three-dimensional model simulation of the impact of Mt. Pinatubo aerosol on the Antarctic ozone hole</t>
  </si>
  <si>
    <t>Antarctic ozone hole; heterogeneous chemistry; three-dimensional model; volcanic aerosol</t>
  </si>
  <si>
    <t>SULFURIC-ACID; HETEROGENEOUS CHEMISTRY; VOLCANIC AEROSOL; MOUNT-PINATUBO; STRATOSPHERIC AEROSOLS; OPTICAL-PROPERTIES; SIZE DISTRIBUTION; GLOBAL OZONE; SOUTH-POLE; ERUPTION</t>
  </si>
  <si>
    <t>Seasonal integrations of a three-dimensional fully coupled model of the radiation, dynamics and chemistry of the stratosphere and mesosphere are presented for the southern hemisphere spring. Included in the model are heterogeneous reactions which take place in sulphuric acid aerosol droplets as well as on the surface of Polar Stratospheric Clouds (PSCs). Calculations are performed for background levels of stratospheric aerosol and for conditions following the eruption of Mt. Pinatubo. For the volcanic case, surface area densities are derived from Improved Stratospheric and Mesospheric Sounder data. For background aerosol loadings there are significant increases in HOx and ClOx, as well as reductions in NOx. These effects are enhanced following the Pinatubo eruption but saturate at relatively low aerosol levels and hence can persist in the stratosphere for several years. Where PSCs are predicted to form, the sulphate aerosol chemistry does not operate in the model since the aerosols are incorporated as nuclei within the PSCs. In contrast, on the edge of the ozone hole, where temperatures are only just too high for the formation of PSCs, destruction by aerosol can result in further total ozone depletion of order 20 Dobson Units. Tn addition, the size and duration of the ozone hole are both increased by the presence of volcanic aerosols. The results support previous suggestions that the eruption of Mt. Pinatubo resulted in a temporary increase in ozone depletion over Antarctica and elsewhere.</t>
  </si>
  <si>
    <t>Meteorol Off, Bracknell RG12 2SZ, Berks, England; Univ Oxford, Oxford OX1 2JD, England</t>
  </si>
  <si>
    <t>Met Office - UK; University of Oxford</t>
  </si>
  <si>
    <t>Knight, JR (corresponding author), Meteorol Off, London Rd, Bracknell RG12 2SZ, Berks, England.</t>
  </si>
  <si>
    <t>Lambert, Alyn/I-8415-2014; Grainger, Roy G/E-8823-2011</t>
  </si>
  <si>
    <t>Lambert, Alyn/0000-0003-3182-1824; Grainger, Roy G/0000-0003-0709-1315</t>
  </si>
  <si>
    <t>10.1002/qj.49712454909</t>
  </si>
  <si>
    <t>108QD</t>
  </si>
  <si>
    <t>WOS:000075276200008</t>
  </si>
  <si>
    <t>Jenkins, B; Jarvis, MJ; Forbes, DM</t>
  </si>
  <si>
    <t>Mesospheric wind observations derived from Super Dual Auroral Radar Network (SuperDARN) HF radar meteor echoes at Halley, Antarctica: Preliminary results</t>
  </si>
  <si>
    <t>LOWER THERMOSPHERE REGIONS; ARCTIC MESOSPHERE; DYNAMICS; ATMOSPHERE; MIDDLE; TIDE</t>
  </si>
  <si>
    <t>The implementation of a technique to derive mesospheric winds from HF radar observations of meteor echoes at Halley (76 degrees S, 27 degrees W), Antarctica, is described. The meteor echoes are observed at near ranges (less than 400 km) and have characteristics distinctly different from echoes backscattered from plasma irregularities in the E and F regions of the ionosphere. A Lorentzian model is used to fit the echo spectrum. The echo occurrence rate has the diurnal variation expected of meteors with a minimum in the afternoon. There also appears to be an annual variation which may be related to seasonal changes in the atmosphere. At present, results are confined to a single beam; that directed toward the south geographic pole is presented here, as this will give the meridional component of the wind and can be compared with other studies. The meridional wind is found to be dominated by the semidiurnal tide most of the year, with maxima in spring and autumn. Data for May 1996 show that the semidiurnal tide is dominant, but there are significant contributions from the 24-hour and 8-hour tides. A moving window spectral analysis technique allows the temporal behavior of the waves over a 10-day period to be studied. A quasi 2-day wave is observed during this interval, and slight changes of period with time can be observed. Planetary waves with periods of 5 and 10 days are observed during the winter of 1996. The radar has been operating since 1988, and so these data form a substantial and valuable database of mesospheric observations in the high-latitude southern hemisphere.</t>
  </si>
  <si>
    <t>Jenkins, B (corresponding author), British Antarctic Survey, NERC, High Cross,Madingley Rd, Cambridge CB3 0ET, England.</t>
  </si>
  <si>
    <t>10.1029/98RS01113</t>
  </si>
  <si>
    <t>105RZ</t>
  </si>
  <si>
    <t>WOS:000075088500012</t>
  </si>
  <si>
    <t>Haan, D; Raynaud, D</t>
  </si>
  <si>
    <t>Ice core record of CO variations during the last two millennia: atmospheric implications and chemical interactions within the Greenland ice</t>
  </si>
  <si>
    <t>DISSOLVED ORGANIC-CARBON; MONOXIDE; METHANE; REEVALUATION; FORMALDEHYDE; AMMONIUM; SUMMIT; GASES</t>
  </si>
  <si>
    <t>In order to study in detail the pre-industrial CO level during the last two millennia and its temporal variations, several ice cores from Greenland and Antarctica were analysed. Our Antarctic CO results remain very close to those observed previously for the last 150 years and suggest that carbon monoxide concentration did not change greatly over Antarctica during the last two millennia. Between 1600 and 1800 AD, CO concentrations obtained in the Greenland ice are also very close to those already reported for the 1800-1850 AD period. In contrast, the oldest part of the Greenland CO profile exhibits high CO levels (100-180 ppbv) characterised by a strong variability. This part of the Greenland record likely does not reflect the true atmospheric CO concentrations. We discuss the possible processes which could have altered the atmospheric CO signal either before or after its trapping in the ice. The oxidation of organic material in the oldest part of the investigated Greenland ice appears as the most likely explanation. Because there are strong similarities between the Greenland CO and CO2 concentration profiles for the 1000-1600 AD period, mechanisms involved in both cases could be at least partly the same. Therefore, oxidation of organic materials is a serious candidate for in-situ CO2 production in the Greenland ice. Due to the fact that the Antarctic ice contains much less impurities and show no peculiar variability in CO concentrations, we are more confident about the atmospheric significance of our Antarctic CO concentration profile.</t>
  </si>
  <si>
    <t>Lab Glaciol &amp; Geophys Environm, F-38402 St Martin Dheres, France</t>
  </si>
  <si>
    <t>Raynaud, D (corresponding author), Lab Glaciol &amp; Geophys Environm, 54 Rue Moliere,BP 96, F-38402 St Martin Dheres, France.</t>
  </si>
  <si>
    <t>Raynaud, Dominique/H-9626-2016; raynaud, dominique/ABG-4718-2020</t>
  </si>
  <si>
    <t>10.1034/j.1600-0889.1998.t01-2-00004.x</t>
  </si>
  <si>
    <t>ZZ590</t>
  </si>
  <si>
    <t>WOS:000074745400004</t>
  </si>
  <si>
    <t>Unwin, MJ; James, GD</t>
  </si>
  <si>
    <t>Occurrence and distribution of adult Chinook salmon in the New Zealand commercial fishery</t>
  </si>
  <si>
    <t>TRANSACTIONS OF THE AMERICAN FISHERIES SOCIETY</t>
  </si>
  <si>
    <t>ONCORHYNCHUS-TSHAWYTSCHA; MIGRATION PATTERNS; PACIFIC SALMON; RAKAIA RIVER; OREGON; TEMPERATURE; WASHINGTON; HATCHERY; KISUTCH</t>
  </si>
  <si>
    <t>To characterize the marine distribution of New Zealand adult chinook salmon Oncorhynchus tshawytscha, we analyzed data on chinook salmon taken off the South Island east coast as a bycatch of a commercial fishery dominated by bottom trawling on the continental shelf and slope in depths up to 1,000 m. Chinook salmon, widely but sparsely distributed out to depths of 100 m throughout most of the year, showed a strong tendency to concentrate off Banks Peninsula (latitude 43 degrees 45'S) in midsummer (December-February). Of 161 metric tons taken between 1984 and 1988, 151 metric tons were taken by larger trawlers capable of towing nets with 6-m headline heights at speeds of up to 6.5 km/h. Most chinook salmon caught at sea were maturing adults returning to nearby rivers, such as the Rakaia, rather than immature fish associated with the oceanic phase of their life cycle. The low incidence of immature fish and the lack of data for offshore waters preclude any definitive conclusions about the extent to which chinook salmon travel offshore, but our results are consistent with their northern distribution being bounded by subtropical water north of about latitude 43 degrees S and their eastern distribution being bounded by cold, low-productivity sub-Antarctic waters.</t>
  </si>
  <si>
    <t>Natl Inst Water &amp; Atmospher Res, Christchurch, New Zealand</t>
  </si>
  <si>
    <t>Unwin, MJ (corresponding author), Natl Inst Water &amp; Atmospher Res, POB 8602, Christchurch, New Zealand.</t>
  </si>
  <si>
    <t>5410 GROSVENOR LANE SUITE 110, BETHESDA, MD 20814-2199 USA</t>
  </si>
  <si>
    <t>0002-8487</t>
  </si>
  <si>
    <t>T AM FISH SOC</t>
  </si>
  <si>
    <t>Trans. Am. Fish. Soc.</t>
  </si>
  <si>
    <t>10.1577/1548-8659(1998)127&lt;0560:OADOAC&gt;2.0.CO;2</t>
  </si>
  <si>
    <t>109XX</t>
  </si>
  <si>
    <t>WOS:000075350600004</t>
  </si>
  <si>
    <t>Olech, M; Kwiatek, WM; Dutkiewicz, EM</t>
  </si>
  <si>
    <t>Lead pollution in the Antarctic region</t>
  </si>
  <si>
    <t>X-RAY SPECTROMETRY</t>
  </si>
  <si>
    <t>Antarctica is considered to be one of the last 'clean' areas in the world. Therefore, it is important to protect this area from pollution from increased human activity in the region. The aim of this study was to analyse the Antarctic environment in respect of pollution. Lichen samples such as Usnea antarctica and Usnea aurantiaco-atra were chosen as good indicators of trace element contamination, Samples were collected on King George and Livingston islands in the areas of Polish, Brazilian, Russian, Chilean and Spanish Antarctic stations. The lead concentration was determined by the Proton-induced x-ray emission technique at the Henryk Niewodniczanski Institute of Nuclear Physics, Krakow. The results obtained in an experiment on the transplantation of lichens from clean sites to polluted areas close to the bases confirmed an increased level of lead. Material was sampled after 1, 3, 6 and 12 months. The long-term integrating ability of lichens is clearly visible. Elevated concentrations of lead of up to 160 ppm in samples placed close to the road to the power station were found. The results indicate the necessity for continuous environment pollution monitoring of Antarctica. (C) 1998 John Wiley &amp; Sons, Ltd.</t>
  </si>
  <si>
    <t>H Niewodniczanski Inst Nucl Phys, PL-31342 Krakow, Poland; Jagiellonian Univ, Inst Bot, PL-31512 Krakow, Poland</t>
  </si>
  <si>
    <t>Polish Academy of Sciences; Institute of Nuclear Physics - Polish Academy of Sciences; Jagiellonian University</t>
  </si>
  <si>
    <t>Kwiatek, WM (corresponding author), H Niewodniczanski Inst Nucl Phys, Radzikowskiego 152, PL-31342 Krakow, Poland.</t>
  </si>
  <si>
    <t>Dutkiewicz, Erazm Maria/Y-3658-2018; Dutkiewicz, Erazm Maria/AAI-7658-2021; Kwiatek, Wojciech/V-6936-2018</t>
  </si>
  <si>
    <t>Dutkiewicz, Erazm Maria/0000-0002-2306-132X; Dutkiewicz, Erazm Maria/0000-0002-2306-132X; Kwiatek, Wojciech/0000-0002-2197-8572</t>
  </si>
  <si>
    <t>0049-8246</t>
  </si>
  <si>
    <t>X-RAY SPECTROM</t>
  </si>
  <si>
    <t>X-Ray Spectrom.</t>
  </si>
  <si>
    <t>10.1002/(SICI)1097-4539(199807/08)27:4&lt;232::AID-XRS291&gt;3.0.CO;2-U</t>
  </si>
  <si>
    <t>Spectroscopy</t>
  </si>
  <si>
    <t>103ML</t>
  </si>
  <si>
    <t>WOS:000075000500003</t>
  </si>
  <si>
    <t>Martynov, AV</t>
  </si>
  <si>
    <t>Opisthobranch molluscs (Gastropoda, Opisthobranchia) of the family Eubranchidae: Taxonomy and two new species from the Sea of Japan</t>
  </si>
  <si>
    <t>ZOOLOGICHESKY ZHURNAL</t>
  </si>
  <si>
    <t>NUDIBRANCHS</t>
  </si>
  <si>
    <t>The family Eubranchidae is divided into two subfamilies. The subfamily Eubranchinae (prostate is absent in was deferens) includes two tribes-Eubranchini with the genus Eubranchus Forbes' and Nudibranchini trib. n. with the subtribes Nudibranchinini subtrib. n. (Nudibranchus gen. n. genus), Produnginini subtrib. n. (Produnga gen. n. genus) and Dunginini subtrib. n. (Dunga Eliot, Aenigmastyletus gen. n., Leostyletus gen. n. genera). The subfamily Amphorininae subfam. n. includes one genus Amphorina. Two new species (Aenigmastyletus alexeii gen. et sp. n., Leostyletus pseudomisakiensis gen. et sp. n.) are described from the Sea of Japan. The antarctic genus Galvinella Eliot is considered as a synonym of the genus Amphorina Forbes and Galvinella glacialis Thiele-as a junior synonym of Amphorina antarctica (Eliot) comb. n. The status of antarctic Eubranchidae as well as that of the complex of Nudibranchus exiguus (Alder et Hancock) are considered.</t>
  </si>
  <si>
    <t>Russian Acad Sci, Inst Zool, St Petersburg 199034, Russia</t>
  </si>
  <si>
    <t>Russian Academy of Sciences; Zoological Institute of the Russian Academy of Sciences</t>
  </si>
  <si>
    <t>Martynov, AV (corresponding author), Russian Acad Sci, Inst Zool, St Petersburg 199034, Russia.</t>
  </si>
  <si>
    <t>Martynov, Alexander/AAE-3682-2021</t>
  </si>
  <si>
    <t>0044-5134</t>
  </si>
  <si>
    <t>ZOOL ZH</t>
  </si>
  <si>
    <t>Zool. Zhurnal</t>
  </si>
  <si>
    <t>117ZM</t>
  </si>
  <si>
    <t>WOS:000075812800002</t>
  </si>
  <si>
    <t>Shreeve, RS; Ward, P; Murray, AWA</t>
  </si>
  <si>
    <t>Moulting rates of Calanus helgolandicus: an intercomparison of experimental methods</t>
  </si>
  <si>
    <t>copepod; Calanus helgolandicus; moulting rate; method</t>
  </si>
  <si>
    <t>SECONDARY PRODUCTION; MOLTING RATES; GROWTH; COPEPODS</t>
  </si>
  <si>
    <t>An inter-comparison of three commonly reported methods for estimating the stage duration of copepods was made on Calanus helgolandicus from both wild and laboratory-reared populations. These three methods have not been compared previously in contemporaneous experiments. The methods were: (1) following the stage frequency of a laboratory-reared population over time, (2) sorting of individual species stages from the laboratory-reared population and from wild plankton samples, followed by incubation, and (3) sieve fractionating the wild plankton sample followed by incubation. We establish that estimates by these three methods made from the wild and laboratory-reared populations did not differ significantly. Handling of the animals did not affect estimates of moulting rate significantly, but there was a wide range in stage durations in identical copepodite stages which had experienced similar environmental conditions. We therefore suggest that the 'Heinle' method would be most applicable to use on populations with a clear cohort structure in areas not subjected to high rates of advection, and which experience saturating food conditions. The sorted cohort method would be appropriate to areas which were subject to high rates of advection and to a population which had prolonged recruitment, but because this is a labour intensive method the sieved cohort method may be more appropriate when the plankton hauls are dominated by a particular species of copepod. (C) 1998 Elsevier Science B.V.</t>
  </si>
  <si>
    <t>Shreeve, RS (corresponding author), British Antarctic Survey, NERC, High Cross,Madingley Rd, Cambridge CB3 0ET, England.</t>
  </si>
  <si>
    <t>JUN 30</t>
  </si>
  <si>
    <t>10.1016/S0022-0981(97)00188-3</t>
  </si>
  <si>
    <t>ZF990</t>
  </si>
  <si>
    <t>WOS:000072953500001</t>
  </si>
  <si>
    <t>Ahn, IY; Shim, JH</t>
  </si>
  <si>
    <t>Summer metabolism of the Antarctic clam, Laternula elliptica (King and Broderip) in Maxwell Bay, King George Island and its implications</t>
  </si>
  <si>
    <t>Antarctic; bivalve; Laternula elliptica; metabolism; food</t>
  </si>
  <si>
    <t>FEEDING-ACTIVITY; COLD ADAPTATION; DYNAMIC ACTION; ASSIMILATION; GROWTH; RESPIRATION; BIVALVIA</t>
  </si>
  <si>
    <t>Oxygen consumption of the Antarctic lamellibranch Laternula elliptica was determined in a closed system for a summer period during which food was relatively abundant. For a standard 2.6-g AFDW (equivalent to 60 mm in shell length) individual, oxygen consumption rate was 414 mu g O-2 h(-1). Weight-specific rates decreased with increase in body weight; the rate for a I-g AFDW (45 mm) individual (206 mu g O-2 g AFDW(-1) h(-1))was 1.3 times higher than the rate for a 2.6-g AFDW individual (159 mu g O-2 g AFDW(-1) h(-1)). The overall metabolic rates;of L. elliptica are well below those of temperate bivalve species and comparable to those of the Antarctic bivalve species. Reduced summer metabolism as compared with temperate bivalve species appears to be an important strategy of energy conservation of L. elliptica inhabiting Antarctic nearshore areas where food may be in short supply for up to 9 months of the year. (C) 1998 Elsevier Science B.V.</t>
  </si>
  <si>
    <t>Korea Ocean Res &amp; Dev Inst, Polar Res Ctr, Seoul 425600, South Korea</t>
  </si>
  <si>
    <t>Korea Institute of Ocean Science &amp; Technology (KIOST)</t>
  </si>
  <si>
    <t>Ahn, IY (corresponding author), Korea Ocean Res &amp; Dev Inst, Polar Res Ctr, Ansan POB 29, Seoul 425600, South Korea.</t>
  </si>
  <si>
    <t>Shim, JeongHee/0000-0003-0699-9145</t>
  </si>
  <si>
    <t>10.1016/S0022-0981(97)00201-3</t>
  </si>
  <si>
    <t>WOS:000072953500009</t>
  </si>
  <si>
    <t>Kuroda, Y; Kodera, K</t>
  </si>
  <si>
    <t>Interannual variability in the troposphere and stratosphere of the southern hemisphere winter</t>
  </si>
  <si>
    <t>MEAN-FLOW INTERACTION; ANTARCTIC OZONE DEPLETION; GENERAL-CIRCULATION MODEL; NORTHERN-HEMISPHERE; WAVE; MODULATION</t>
  </si>
  <si>
    <t>Interannual variability in the tropospheric and stratospheric circulation of the southern-hemisphere winter is studied over the 16-year period from 1979 to 1994. In particular, the interannual mode of variability in the seasonal march from autumn to spring is investigated by means of a multiple empirical orthogonal function analysis. The extracted dominant mode of variability is characterized by the poleward and downward propagation of anomalous zonal-mean zonal winds, accompanied by changes in wave activity. The overall features of the variability are similar to those found in the northern hemisphere except that the entire sequence of evolution is closely locked to the annual cycle and requires a longer period of 6 months. The time coefficients of this mode exhibit a very clear biennial oscillation and increasing trend. A similar spatial pattern of variability is also found in the simulated data of an atmospheric general circulation model with climalogical sea surface temperatures as the lower boundary conditions. The similarities in the time evolution of the spatial pattern suggest that this mode is essentially an internal mode of variability in the atmosphere, which is modulated by external conditions.</t>
  </si>
  <si>
    <t>Meteorol Res Inst, Climate Res Dept, Tsukuba, Ibaraki 3050052, Japan</t>
  </si>
  <si>
    <t>Kuroda, Y (corresponding author), Meteorol Res Inst, Climate Res Dept, Tsukuba, Ibaraki 3050052, Japan.</t>
  </si>
  <si>
    <t>kuroda@mri-jma.go.jp; kodera@mri-jma.go.jp</t>
  </si>
  <si>
    <t>JUN 27</t>
  </si>
  <si>
    <t>D12</t>
  </si>
  <si>
    <t>10.1029/98JD01042</t>
  </si>
  <si>
    <t>ZW708</t>
  </si>
  <si>
    <t>WOS:000074439500008</t>
  </si>
  <si>
    <t>di Sarra, A; Bernardini, L; Cacciani, M; Fiocco, G; Fua, D</t>
  </si>
  <si>
    <t>Stratospheric aerosols observed by lidar over northern Greenland in the aftermath of the Pinatubo eruption</t>
  </si>
  <si>
    <t>QUASI-BIENNIAL OSCILLATION; VOLCANIC AEROSOL; POLAR VORTEX; VERTICAL STRUCTURE; ANTARCTIC OZONE; II MEASUREMENTS; LAYER; EASOE; HEMISPHERE; WINTER</t>
  </si>
  <si>
    <t>Lidar observations were carried out from Thule (76.5 degrees N, 68.8 degrees W), Greenland, during the period September 1991 to February 1996. The measurements were carried out with relative continuity throughout the, solar year, with the exception of the summer 1992. A total of over 300 profiles of the stratospheric aerosol backscattering and depolarization were obtained. The buildup and decay of the volcanic aerosols, originated from the eruption of Mount Pinatubo (June 1991, Philippines), were followed in detail. Maxima of the backscatter ratio, around 6, were recorded in March 1992. The aerosol decay, mainly controlled by gravitational sedimentation and stratosphere-troposphere exchange, shows a strong modulation induced by dynamical phenomena: an annual oscillation of the aerosol integrated backscattering, with a winter maximum at altitudes below 20 km, distinctly appears. Subsidence during winter and, possibly, upward motion during summer lead to a consistently different winter-to-summer aerosol vertical distribution. Discontinuities in the evolution of the aerosol backscattering may be related to the influence of the quasi-biennial oscillation (QBO) on the poleward transport and on the mean diabatic circulation. The QBO appears also to affect the stratosphere-troposphere exchange during winter. By fitting the decreasing phase of the volcanic aerosol integrated backscattering with an analytical expression given by an exponential decrease and an annual oscillation, an e-folding time of approximately 9.4 months is derived. The e-folding time varies however with time and depends on altitude. A distinct transition occurs in early summer 1994, with a fast decrease of the aerosol load below 20 km. The observation of backscattering values larger than in the pre-Pinatubo period still in early 1996 above 20 km seems to be consistent with modifications of the particle size distribution at these altitudes. Upper limit estimates for the diabatic descent in and outside the polar vortex could also be derived from the lidar observations in the winter months.</t>
  </si>
  <si>
    <t>Univ Roma La Sapienza, Dipartimento Fis, I-00185 Rome, Italy; Energia Ambiente, Ente Nuove Tecnol, Santa Maria Di Galeria, Italy; CNR, Ist Fis Atmosfera, Rome, Italy</t>
  </si>
  <si>
    <t>Sapienza University Rome; Consiglio Nazionale delle Ricerche (CNR)</t>
  </si>
  <si>
    <t>Univ Roma La Sapienza, Dipartimento Fis, Ple Aldo Moro 2, I-00185 Rome, Italy.</t>
  </si>
  <si>
    <t>dis-arra@g24ux.phys.uniroma1.it</t>
  </si>
  <si>
    <t>di Sarra, Alcide/J-1491-2016</t>
  </si>
  <si>
    <t>di Sarra, Alcide/0000-0002-2405-2898</t>
  </si>
  <si>
    <t>10.1029/98JD00901</t>
  </si>
  <si>
    <t>WOS:000074439500014</t>
  </si>
  <si>
    <t>Priscu, JC; Fritsen, CH; Adams, EE; Giovannoni, SJ; Paerl, HW; McKay, CP; Doran, PT; Gordon, DA; Lanoil, BD; Pinckney, JL</t>
  </si>
  <si>
    <t>Perennial Antarctic lake ice: An oasis for life in a polar desert</t>
  </si>
  <si>
    <t>The permanent ice covers of Antarctic lakes in the McMurdo Dry Valleys develop liquid water inclusions in response to solar heating of internal aeolian-derived sediments. The ice sediment particles serve as nutrient (inorganic and organic)-enriched microzones for the establishment of a physiologically and ecologically complex microbial consortium capable of contemporaneous photosynthesis,.nitrogen fixation, and decomposition. The consortium is capable of physically and chemically establishing and modifying a relatively nutrient- and organic matter-enriched microbial oasis embedded in the lake ice cover.</t>
  </si>
  <si>
    <t>Montana State Univ, Dept Biol Sci, Bozeman, MT 59717 USA; Montana State Univ, Dept Civil Engn, Bozeman, MT 59717 USA; Oregon State Univ, Dept Microbiol, Corvallis, OR 97331 USA; Univ N Carolina, Inst Marine Sci, Morehead City, NC 28557 USA; NASA, Ames Res Ctr, Div Space Sci, Moffett Field, CA 94035 USA; Univ Illinois, Chicago, IL 60607 USA</t>
  </si>
  <si>
    <t>Montana State University System; Montana State University Bozeman; Montana State University System; Montana State University Bozeman; Oregon State University; University of North Carolina; University of North Carolina Chapel Hill; National Aeronautics &amp; Space Administration (NASA); NASA Ames Research Center; University of Illinois System; University of Illinois Chicago; University of Illinois Chicago Hospital</t>
  </si>
  <si>
    <t>Montana State Univ, Dept Biol Sci, Bozeman, MT 59717 USA.</t>
  </si>
  <si>
    <t>Lanoil, Brian/A-2657-2014</t>
  </si>
  <si>
    <t>Pinckney, James/0000-0002-6056-6511; McKay, Christopher/0000-0002-6243-1362; Lanoil, Brian/0000-0001-8603-8330</t>
  </si>
  <si>
    <t>JUN 26</t>
  </si>
  <si>
    <t>10.1126/science.280.5372.2095</t>
  </si>
  <si>
    <t>ZW680</t>
  </si>
  <si>
    <t>WOS:000074435900038</t>
  </si>
  <si>
    <t>Takeda, S</t>
  </si>
  <si>
    <t>Influence of iron availability on nutrient consumption ratio of diatoms in oceanic waters</t>
  </si>
  <si>
    <t>EQUATORIAL PACIFIC-OCEAN; EXPORT PRODUCTION; SOUTHERN-OCEAN; MARINE DIATOMS; PHYTOPLANKTON; GROWTH; LIMITATION; SILICATE; CARBON</t>
  </si>
  <si>
    <t>The major nutrients (nitrate, phosphate and silicate) needed for phytoplankton growth are abundant in the surface waters of the subarctic Pacific, equatorial Pacific and Southern oceans, but this growth is Limited by the availability of iron(1-5). Under iron-deficient conditions, phytoplankton exhibit reduced uptake of nitrate(6) and lower cellular levels of carbon, nitrogen and phosphorus(7), Here I describe seawater and culture experiments which show that iron limitation can also affect the ratio of consumed silicate to nitrate and phosphate. In iron-limited waters from all three of the aforementioned environments, addition of iron to phytoplankton assemblages in incubation bottles halved the silicate:nitrate and silicate:phosphate consumption ratios, in spite of the preferential growth of diatoms (silica-shelled phytoplankton). The nutrient consumption ratios of the phytoplankton assemblage from the Southern Ocean were similar to those of an iron-deficient laboratory culture of Antarctic diatoms, which exhibit increased cellular silicon or decreased cellular nitrogen and phosphorus in response to iron limitation. Iron limitation therefore increases the export of biogenic silicon, relative to nitrogen and phosphorus, from the surface to deeper waters. These findings suggest how the sedimentary records of carbon and silicon deposition in the glacial Southern Oceans can be consistent with the idea that changes in productivity, and thus in drawdown of atmospheric CO(2), during the last glaciation were stimulated by changes in iron inputs from atmospheric dust.</t>
  </si>
  <si>
    <t>Cent Res Inst Elect Power Ind, Dept Biol, Chiba 27011, Japan</t>
  </si>
  <si>
    <t>Central Research Institute of Electric Power Industry - Japan</t>
  </si>
  <si>
    <t>Takeda, S (corresponding author), Cent Res Inst Elect Power Ind, Dept Biol, Chiba 27011, Japan.</t>
  </si>
  <si>
    <t>s-takeda@criepi.denken.or.jp</t>
  </si>
  <si>
    <t>Takeda, Shigenobu/0000-0002-4997-1583</t>
  </si>
  <si>
    <t>JUN 25</t>
  </si>
  <si>
    <t>10.1038/31674</t>
  </si>
  <si>
    <t>ZW652</t>
  </si>
  <si>
    <t>WOS:000074433100045</t>
  </si>
  <si>
    <t>Lin, JJ; Hwang, DW; Lee, YT; Yang, XM</t>
  </si>
  <si>
    <t>Photodissociation dynamics of OClO at 157 nm</t>
  </si>
  <si>
    <t>ULTRAVIOLET-ABSORPTION SPECTRUM; CHLORINE DIOXIDE; MCMURDO-STATION; FLASH-PHOTOLYSIS; ANTARCTIC OZONE; KINETICS; PRODUCT; SPECTROSCOPY; BRO; DEPENDENCE</t>
  </si>
  <si>
    <t>Photodissociation of OClO at 157.6 nm:excitation has been investigated using the photofragment translational spectroscopic technique; Two distinctive chemical dissociation channels have been observed; one is the binary dissociation process, OClO+hv--&gt;ClO+O; the other one is the,triple dissociation process, OClO+hv--&gt;Cl+O+O. The branching ratio of the binary dissociation channel to the triple dissociation channel is: determined to be 0.59:0.41. Bimodal;vibrational distribution of the ClO product has been observed for the OClO--&gt;ClO(X (II)-I-2)+O(P-3, D-1) channel, implying that two distinctive dissociation routes possibly exist in the binary dissociation process. The bimodal distribution is likely caused by the two dissociation pathways from two excited electronic states:the D((2)A(1)) and E(B-2(1)) states of OClO. These arguments are further supported by the results of the anisotropy parameter measurements or the binary dissociation channels. Experimental; results also show that the OClO+hv--&gt;ClO(X (II)-I-2) + O(S-1) and OClO + hv --&gt; ClO(A (II)-I-2) + O(P-3) channels might also exist in addition to the ClO(X (II)-I-2) + O((3)(P) over bar, D-1) channel. Sn the triple dissociation process, experimental results show that the main product channel is the OClO+hv--&gt;Cl(P-2)+O(D-1)+O(P-3) channel, while the OClO+hv--&gt;Cl(P-2)+O(P-3)S. 0(3P)+0(P-3) channel is the minor one. The; branching-ratio of these two channels is determined to be 0.89:0.11. From the modeling of the time of flight spectra of the O atom product, it is; believed:that the triple dissociation process of OClO is a simultaneous process within the time scale of one rotation period. Two-photon dissociative ionization process OClO+hv--&gt;Cl++O-2+e(-) has also been observed. (C) 1998 American Institute of Physics.</t>
  </si>
  <si>
    <t>Acad Sinica, Inst Atom &amp; Mol Sci, Taipei, Taiwan; Natl Taiwan Univ, Dept Chem, Taipei 10764, Taiwan</t>
  </si>
  <si>
    <t>Academia Sinica - Taiwan; National Taiwan University</t>
  </si>
  <si>
    <t>Yang, XM (corresponding author), Acad Sinica, Inst Atom &amp; Mol Sci, POB 23-166, Taipei, Taiwan.</t>
  </si>
  <si>
    <t>xmyang@po.iams.sinica.edu.tw</t>
  </si>
  <si>
    <t>Lin, Jim/F-7916-2012; Yang, Xueming/C-8764-2013; Lee, Yuan-Tseh/F-7914-2012; Hwang, Dennis W./ABE-2158-2020</t>
  </si>
  <si>
    <t>Lin, Jim/0000-0002-8308-2552; Hwang, Dennis W./0000-0001-9974-4728</t>
  </si>
  <si>
    <t>JUN 22</t>
  </si>
  <si>
    <t>10.1063/1.476466</t>
  </si>
  <si>
    <t>108FV</t>
  </si>
  <si>
    <t>WOS:000075256200012</t>
  </si>
  <si>
    <t>Bertram, AK; Sloan, JJ</t>
  </si>
  <si>
    <t>The nucleation rate constants and freezing mechanism of nitric acid trihydrate aerosol under stratospheric conditions</t>
  </si>
  <si>
    <t>ANTARCTIC OZONE; CLOUD FORMATION; INFRARED-SPECTRA; SULFATE AEROSOLS; DEPLETION; PARTICLES; WATER; HNO3; HOLE</t>
  </si>
  <si>
    <t>The nucleation rates for submicron-diameter nitric acid trihydrate (NAT) aerosol particles were measured under stratospheric conditions using a temperature-programed flow tube and Fourier transform infrared extinction spectroscopy to detect the phase change from liquid to solid. The temperature range from 175 to 155 K was examined. The measured nucleation rate constants (in units of cm(-3) s(-1)) are between 3.8 +/- 1.8 x 10(10) and 9.7 +/- 6.3 x 10(12) for the temperature range between 167.2 and 163.5 Ii. The experiments show directly that critical nuclei form rapidly in NAT droplets at these temperatures, but subsequent crystallization is very slow, so the nucleated droplets can persist as liquids for long times unless their temperature is raised to increase the crystal growth rate. In these experiments, complete crystallization of the nucleated droplets was achieved in the observation time (about 10 s) by raising their temperature to near 180 K. Although demonstrable in the laboratory, the freezing of NAT by homogeneous nucleation at low temperature and subsequent warming are unlikely to be important for type 1 polar stratospheric cloud formation because the temperatures required for nucleation are lower than those commonly found in the lower stratosphere.</t>
  </si>
  <si>
    <t>Univ Waterloo, Dept Chem, Waterloo, ON N2L 3G1, Canada</t>
  </si>
  <si>
    <t>University of Waterloo</t>
  </si>
  <si>
    <t>Bertram, AK (corresponding author), Univ Waterloo, Dept Chem, Waterloo, ON N2L 3G1, Canada.</t>
  </si>
  <si>
    <t>sloanj@uwaterloo.ca</t>
  </si>
  <si>
    <t>Bertram, Allan K./0000-0002-5621-2323</t>
  </si>
  <si>
    <t>JUN 20</t>
  </si>
  <si>
    <t>D11</t>
  </si>
  <si>
    <t>10.1029/98JD00921</t>
  </si>
  <si>
    <t>ZV631</t>
  </si>
  <si>
    <t>WOS:000074325200014</t>
  </si>
  <si>
    <t>Santee, ML; Tabazadeh, A; Manney, GL; Salawitch, RJ; Froidevaux, L; Read, WG; Waters, JW</t>
  </si>
  <si>
    <t>UARS Microwave Limb Sounder HNO3 observations:: Implications for Antarctic polar stratospheric clouds</t>
  </si>
  <si>
    <t>ATMOSPHERE RESEARCH SATELLITE; NITRIC-ACID CONDENSATION; AIRBORNE LIDAR; SULFURIC-ACID; SULFATE AEROSOLS; OZONE DEPLETION; TEMPERATURE-FLUCTUATIONS; ARCTIC STRATOSPHERE; MIDDLE ATMOSPHERE; PHYSICAL STATE</t>
  </si>
  <si>
    <t>We present Microwave Limb Sounder (MLS) measurements of gas-phase HNO3 obtained at the beginning of five southern hemisphere winters: 1992-1996. To investigate the composition of the polar stratospheric clouds (PSCs) that formed in early winter each year, the observed evolution of HNO3 at 465 K is compared against that predicted using nitric acid trihydrate (NAT), nitric acid dihydrate (NAD), and liquid ternary solution models of PSC formation and correlated with temperature histories from three-dimensional back trajectory calculations. The MLS HNO3 observations suggest that the initial composition of PSCs depends on the physical state of the background sulfate aerosols. If the preexisting aerosols are liquid, then the formation of ternary solutions is initiated as the temperature drops below about 192 K, followed by a gradual conversion to NAD after exposure to low temperatures for several days. HNO3 uptake into ternary solutions occurs at higher temperatures, and the conversion to NAD is delayed, under conditions of enhanced aerosol loading from the Mount Pinatubo eruption. If a majority of the background aerosols are frozen, the growth of ternary solutions is inhibited, but formation of a metastable, water-rich, KNO3-containing solid phase characterized by a relatively high HNO3 vapor pressure (type Ic PSC) may occur. In general, MLS HNO3 measurements obtained during early southern winter indicate a strong correspondence between the area of gas-phase HNO3 loss and the area of temperatures below 192 K but only a weak correspondence between the area of gas-phase HNO3 loss and the area of temperatures below 195 K, the value commonly assumed as the threshold for PSC formation. Although temperatures were low enough to maintain NAT PSCs, the MLS data show that they were not forming, at least not over spatial scales comparable to or larger than the similar to 400 x 100 x 5 km MLS field of view.</t>
  </si>
  <si>
    <t>CALTECH, Jet Prop Lab, Pasadena, CA 91109 USA; NASA, Ames Res Ctr, Moffett Field, CA 94035 USA</t>
  </si>
  <si>
    <t>California Institute of Technology; National Aeronautics &amp; Space Administration (NASA); NASA Jet Propulsion Laboratory (JPL); National Aeronautics &amp; Space Administration (NASA); NASA Ames Research Center</t>
  </si>
  <si>
    <t>CALTECH, Jet Prop Lab, 4800 Oak Grove Dr,Mail Stop 183-701, Pasadena, CA 91109 USA.</t>
  </si>
  <si>
    <t>mls@mls.jpl.nasa.gov; taba@sky.arc.nasa.gov</t>
  </si>
  <si>
    <t>read, william/AAL-1895-2021; Santee, MIchelle/R-5762-2019; Manney, Gloria/JED-7207-2023; Salawitch, Ross/B-4605-2009</t>
  </si>
  <si>
    <t>10.1029/98JD00365</t>
  </si>
  <si>
    <t>WOS:000074325200016</t>
  </si>
  <si>
    <t>Tsuchiya, M; Talley, LD</t>
  </si>
  <si>
    <t>A Pacific hydrographic section at 88°W:: Water-property distribution</t>
  </si>
  <si>
    <t>World Ocean Circulation Experiment Pacific Workshop</t>
  </si>
  <si>
    <t>AUG, 1996</t>
  </si>
  <si>
    <t>SHALLOW SALINITY MINIMA; NORTH PACIFIC; EASTERN PACIFIC; SILICA MAXIMUM; OCEAN; CIRCULATION; COLUMN; FLOW</t>
  </si>
  <si>
    <t>Full-depth conductivity-temperature-depth (CTD)/hydrographic measurements with high horizontal and vertical resolution were made in February-April 1993 along a line lying at a nominal longitude of 88 degrees W and extending from southern Chile (54 degrees S) to Guatemala (14 degrees N). It crossed five major deep basins (Southeast Pacific, Chile, Peru, Panama, and Guatemala basins) east of the East Pacific Rise. Vertical sections of potential temperature, salinity, potential density, oxygen, silica, phosphate, nitrate, and nitrite are presented to illustrate the structure of the entire water column. Some features of interest found in the sections are described, and an attempt is made to interpret them in terms of the isopycnal property distributions associated with the large-scale ocean circulation. These features include: various near-surface waters observed in the tropical and subtropical regions and the fronts that mark the boundaries of these waters; the possible importance of salt fingering to the downward salt transfer from the high-salinity subtropical water; a shallow thermostad (pycnostad) developed at 16 degrees-18.5 degrees C in the subtropical water; low-salinity surface water in the subantarctic zone west of southern Chile; large domains of extremely low oxygen in the subpycnocline layer on both sides of the equator and a secondary nitrite maximum associated with a nitrate minimum in these low-oxygen domains; high-salinity, low-oxygen, high-nutrient subpycnocline water that is carried poleward along the eastern boundary by the Peru-Chile Undercurrent; the Subantarctic Mode and Antarctic Intermediate waters; middepth isopycnal property extrema observed at the crest of the Sala y Gomez Ridge; influences of the North Pacific and the North Atlantic upon deep waters along the section; and the characteristics and sources of the bottom waters in the five deep basins along the section.</t>
  </si>
  <si>
    <t>Univ Calif San Diego, Scripps Inst Oceanog, La Jolla, CA 92093 USA.</t>
  </si>
  <si>
    <t>ltalley@ucsd.edu</t>
  </si>
  <si>
    <t>JUN 15</t>
  </si>
  <si>
    <t>C6</t>
  </si>
  <si>
    <t>10.1029/97JC03415</t>
  </si>
  <si>
    <t>ZU093</t>
  </si>
  <si>
    <t>WOS:000074160900025</t>
  </si>
  <si>
    <t>Grotov, AS; Nechaev, DA; Panteleev, GG; Yaremchuk, MI</t>
  </si>
  <si>
    <t>Large scale circulation in the Bellingshausen and Amundsen seas as a variational inverse of climatological Data</t>
  </si>
  <si>
    <t>ANTARCTIC CIRCUMPOLAR CURRENT; SOUTHERN-OCEAN; FITTING MODELS; PACIFIC-OCEAN; DRAKE PASSAGE; WORLD OCEAN; ALGORITHMS; TRANSPORT; ICE</t>
  </si>
  <si>
    <t>Atmospheric and oceanic climatological data art: combined with the World Ocean Circulation Experiment S4 section hydrology in the framework of a variational data assimilation scheme into a steady state nonlinear model of the large-scale circulation. The reconstructed fields of density and three-dimensional velocity are dynamically balanced and provide qualitative and quantitative estimates of the circulation features of the Amundsen and Bellingshausen seas. Natural assumptions on the spatial structure of the density covariance matrices enable us to obtain realistic coastal currents near the continental slopes of Antarctica within the framework of model equations. The horizontal circulation pattern reveals along shore westward current with typical velocities of 1 cm s(-1) and cyclonic gyres in the Amundsen and Bellingshausen seas transporting 2 and 0.5 Sv, respectively. The ee eastward branches Of the Antarctic Circumpolar Current are observed in offshore regions. Their transports are diagnosed as 19, 12, and 6 Sv. The lower layer is characterized by westward countercurrent in the northwestern part of the basin with the transport of 8 Sv. Average Ekman upwelling rate in the major part of the basin amounts to 20-25 m yr(-1). Downwelling in the shelf regions of the Bellingshausen and Amundsen seas is estimated as 250-350 m yr(-1).</t>
  </si>
  <si>
    <t>PP Shirshov Oceanol Inst, Moscow 117218, Russia</t>
  </si>
  <si>
    <t>PP Shirshov Oceanol Inst, Nakhimovsky Prospect 36, Moscow 117218, Russia.</t>
  </si>
  <si>
    <t>grotov@stream.sio.rssi.ru; pantel@stream.sio.rssi.ru; max@stream.sio.rssi.ru</t>
  </si>
  <si>
    <t>Yaremchuk, Max/AAJ-5777-2021</t>
  </si>
  <si>
    <t>10.1029/98JC00449</t>
  </si>
  <si>
    <t>WOS:000074160900030</t>
  </si>
  <si>
    <t>Zhao, YQ; Ratnayake-Lecamwasam, M; Parker, SK; Cocca, E; Camardella, L; di Prisco, G; Detrich, HW</t>
  </si>
  <si>
    <t>The major adult α-globin gene of Antarctic teleosts and its remnants in the hemoglobinless icefishes -: Calibration of the mutational clock for nuclear genes</t>
  </si>
  <si>
    <t>PHENOL-CHLOROFORM EXTRACTION; SINGLE-STEP METHOD; RNA ISOLATION; DNA; EXPRESSION; EVOLUTION; SEQUENCES; PROMOTER; FISHES; ACID</t>
  </si>
  <si>
    <t>The icefishes of the Southern Ocean (family Channichthyidae, suborder Notothenioidei) are unique among vertebrates in their inability to synthesize hemoglobin. We have shown previously (Cocca, E., Ratnayake-Lecamwasam, M., Parker, S. K., Camardella, L., Ciaramella, M., di Prisco, G., and Detrich, H. W., III (1995) Proc. Natl. Acad. Sci. U.S. A. 92, 1817-1821); that icefishes retain inactive genomic remnants of adult notothenioid alpha-globin genes but have lost the gene that encodes adult beta-globin, Here we demonstrate that loss of expression of the major adult alpha-globin, alpha 1, in two specie's of icefish (Chaenocephalus aceratus and Chionodraco rastrospinosus) results from truncation of the 5' end of the notothenioid alpha 1-globin gene. The wild-type, functional alpha 1-globin gene of the Antarctic yellowbelly rockcod, Notothenia coriiceps, contains three exons and two A + T-rich introns, and its expression may be controlled by two or three distinct promoters. Retained in both icefish genomes are a portion of intron 2, exon 3, and the 3'-untranslated region of the notothenioid alpha 1-globin gene. The residual, nonfunctional alpha-globin gene, no longer under positive selection pressure for expression, has apparently undergone random mutational drift at an estimated rate of 0.12-0.33%/million years. We propose that abrogation of hemoglobin synthesis in icefishes most likely resulted from a single mutational event in the ancestral channichthyid that deleted the entire beta-globin gene and the 5' end of the linked alpha 1-globin gene.</t>
  </si>
  <si>
    <t>Northeastern Univ, Dept Biol, Boston, MA 02115 USA; CNR, Ist Biochim Prot &amp; Enzimol, I-80125 Naples, Italy</t>
  </si>
  <si>
    <t>Northeastern University; Consiglio Nazionale delle Ricerche (CNR); Istituto di Biochimica delle Proteine (IBP-CNR)</t>
  </si>
  <si>
    <t>Detrich, HW (corresponding author), Northeastern Univ, Dept Biol, 414 Mugar Hall,360 Huntington Ave, Boston, MA 02115 USA.</t>
  </si>
  <si>
    <t>Cocca, Ennio/0000-0003-2432-9663</t>
  </si>
  <si>
    <t>JUN 12</t>
  </si>
  <si>
    <t>10.1074/jbc.273.24.14745</t>
  </si>
  <si>
    <t>ZU088</t>
  </si>
  <si>
    <t>WOS:000074160400015</t>
  </si>
  <si>
    <t>Jacobson, HP; Raymond, CE</t>
  </si>
  <si>
    <t>Thermal effects on the location of ice stream margins</t>
  </si>
  <si>
    <t>WEST ANTARCTICA; VELOCITY; CONFIGURATION; SHEET; FLOW</t>
  </si>
  <si>
    <t>West Antarctic ice streams move rapidly over beds that are thawed by heat generated by the motion. Intervening zones of slow-moving ice are probably freezing at their bases, where heat generation is absent: Heat is also generated in the shear zone between the slow and fast moving ice. Through modeling of coupled heat and mass flow, we show that the position of the boundary between freezing and melting at the bed is unstable for an otherwise morphologically uniform bed. Above a threshold speed in the ice stream, heat generation in the shear zone allows melting beneath the slow ice and possible widening of the stream. Below this threshold, heat generation at the edge of the thawed zone is insufficient to maintain melting, leading to freezing and narrowing of the stream. The threshold speed appears to be a function of the temperature at the base of slow ice (relative to the melting point) and is also highly sensitive to the inflow of colder ice from the slow zone. For environmental conditions typical of West Antarctica, the threshold speed is about 100 m yr(-l) in the absence of inflow and increases to typical ice stream speeds (500 m yr(-l)) for inflow speeds of a few meters per year. Thus the ice streams can be in a delicate thermal balance with the potential of melting outward or freezing inward. Rapidly moving ice streams could expand unless blocked by bed properties that would prevent fast motion even when there is melting at the bed.</t>
  </si>
  <si>
    <t>Univ Washington, Geophys Program, Seattle, WA 98195 USA</t>
  </si>
  <si>
    <t>University of Washington; University of Washington Seattle</t>
  </si>
  <si>
    <t>Jacobson, HP (corresponding author), Univ Washington, Geophys Program, Box 351650, Seattle, WA 98195 USA.</t>
  </si>
  <si>
    <t>paul@geophys.washington.edu; char-lie@geophys.washington.edu</t>
  </si>
  <si>
    <t>JUN 10</t>
  </si>
  <si>
    <t>B6</t>
  </si>
  <si>
    <t>10.1029/98JB00574</t>
  </si>
  <si>
    <t>ZU092</t>
  </si>
  <si>
    <t>WOS:000074160800001</t>
  </si>
  <si>
    <t>Guinet, C; Chastel, O; Koudil, M; Durbec, JP; Jouventin, P</t>
  </si>
  <si>
    <t>Effects of warm sea-surface temperature anomalies on the blue petrel at the Kerguelen Islands</t>
  </si>
  <si>
    <t>sea-surface temperatures; Halobaena carulea; blue petrel; breeding success; bioindicators; Kerguelen Islands</t>
  </si>
  <si>
    <t>NINO-SOUTHERN-OSCILLATION; EL-NINO; ARCTOCEPHALUS-GAZELLA; REPRODUCTIVE SUCCESS; HALOBAENA-CAERULEA; BODY CONDITION; SEABIRD; OCEAN; ABUNDANCE; GEORGIA</t>
  </si>
  <si>
    <t>Several long-term studies on Southern Ocean seabirds and seals have suggested a possible link between major declines in breeding performance and El Nino Southern Oscillation events. We report that the breeding performances and body condition of the blue petrel (Halobaena carulea) on the Kerguelen Islands is depressed by episodic, warm sea-surface temperatures (SSTs) in the winter before breeding. Lagged cross-correlations between SSTs in the Kerguelen sector and the Southern Oscillation Index indicate that warm SSTs were found south of the Kerguelen Islands within a year of, and between 4.2 and 5.4 years after an El Nino event took place. These results can be discussed with respect to the recently described Antarctic Circumpolar Wave that drives climatic anomalies eastward around the Southern Ocean.</t>
  </si>
  <si>
    <t>Ctr Etud Biol Chize, CNRS, F-79360 Beauvoir Sur Niort, France; Fac Sci Luminy, Ctr Oceanol Marseille, F-13288 Marseille 9, France</t>
  </si>
  <si>
    <t>Centre National de la Recherche Scientifique (CNRS); Aix-Marseille Universite</t>
  </si>
  <si>
    <t>Guinet, C (corresponding author), Ctr Etud Biol Chize, CNRS, F-79360 Beauvoir Sur Niort, France.</t>
  </si>
  <si>
    <t>Guinet, Christophe/AAR-8457-2020</t>
  </si>
  <si>
    <t>1471-2954</t>
  </si>
  <si>
    <t>JUN 7</t>
  </si>
  <si>
    <t>10.1098/rspb.1998.0390</t>
  </si>
  <si>
    <t>ZU419</t>
  </si>
  <si>
    <t>WOS:000074195200009</t>
  </si>
  <si>
    <t>de Silva, SL; Zielinski, GA</t>
  </si>
  <si>
    <t>Global influence of the AD1600 eruption of Huaynaputina, Peru</t>
  </si>
  <si>
    <t>MAJOR VOLCANIC-ERUPTIONS; TEPHRA FALL DEPOSITS; TREE-RING EVIDENCE; EXPLOSIVE VOLCANISM; CLIMATIC IMPACT; ICE CORE; VOLUME</t>
  </si>
  <si>
    <t>It has long been estabished that gas and fine ash from large equatorial explosive eruptions can spread globally, and that the sulphuric acid that is consequently produced in the stratosphere can cause a small, but statistically significant, cooling of global temperatures(1,2). Central to revealing the ancient volcano-climate connection have been studies linking single eruptions to features of climate-proxy records such as found in ice-core(3-5) and tree-ring(6-8) chronologies. Such records also suggest that the known inventory of eruptions is incomplete, and that the climatic significance of unreported or poorly understood eruptions remains to be revealed, The AD1600 eruption of Huaynaputina, in southern Peru, has been speculated to be one of the largest eruptions of the past 500 years; acidity spikes from Greenland and Antarctica ice(3-5), tree-ring chronologies(6-8), along with records of atmospheric perturbations in early seventeenth-century Europe and China(9,10), implicate an eruption of similar or greater magnitude than that of Krakatau in 1883. Here we use tephra deposits to estimate the volume of the AD1600 Huaynaputina eruption, revealing that it was indeed one of the largest eruptions in historic times. The chemical characteristics of the glass from juvenile tephra allow a firm cause-effect link to be established with glass from the Antarctic ice, and thus improve on estimates of the stratospheric loading of the eruption.</t>
  </si>
  <si>
    <t>Indiana State Univ, Dept Geog Geol &amp; Anthropol, Terre Haute, IN 47809 USA; Univ New Hampshire, Climate Change Res Ctr, Durham, NH 03824 USA</t>
  </si>
  <si>
    <t>Indiana State University; University System Of New Hampshire; University of New Hampshire</t>
  </si>
  <si>
    <t>Indiana State Univ, Dept Geog Geol &amp; Anthropol, Terre Haute, IN 47809 USA.</t>
  </si>
  <si>
    <t>gesilva@scifac.indstate.edu</t>
  </si>
  <si>
    <t>de Silva, Shanaka/A-4630-2011</t>
  </si>
  <si>
    <t>de Silva, Shanaka/0000-0002-0310-5516</t>
  </si>
  <si>
    <t>JUN 4</t>
  </si>
  <si>
    <t>10.1038/30948</t>
  </si>
  <si>
    <t>ZR842</t>
  </si>
  <si>
    <t>WOS:000074020000040</t>
  </si>
  <si>
    <t>Hardewig, I; Van Dijk, PLM; Pörtner, HO</t>
  </si>
  <si>
    <t>High-energy turnover at low temperatures:: recovery from exhaustive exercise in Antarctic and temperate eelpouts</t>
  </si>
  <si>
    <t>AMERICAN JOURNAL OF PHYSIOLOGY-REGULATORY INTEGRATIVE AND COMPARATIVE PHYSIOLOGY</t>
  </si>
  <si>
    <t>metabolic cold adaptation; free energy change of adenosine 5 '-triphosphate hydrolysis; muscular fatigue; Zoarcidae</t>
  </si>
  <si>
    <t>FLOUNDER PLATICHTHYS-STELLATUS; ANAEROBIC SWIMMING MUSCLE; METABOLIC COLD ADAPTATION; PLEURONECTES-PLATESSA L; TROUT SALMO-GAIRDNERI; RAINBOW-TROUT; WHITE MUSCLE; PAGOTHENIA-BORCHGREVINKI; NOTOTHENIA-NEGLECTA; STRENUOUS EXERCISE</t>
  </si>
  <si>
    <t>Earlier work on Notothenioids led to the hypothesis that a reduced glycolytic capacity is a general adaptation to low temperatures in Antarctic fish. In our study this hypothesis was reinvestigated by comparing changes in the metabolic status of the white musculature in two related zoarcid species, the stenothermal Antarctic eelpout Pachycara brachycephalum and the eurythermal Zoarces viviparus during exercise and subsequent recovery at 0 degrees C. In both species, strenuous exercise caused a similar increase in white muscle lactate, a drop in intracellular pH (pH(i)) by about 0.5 pH units, and a 90% depletion of phosphocreatine. This is the first study on Antarctic fish that shows an increase in white muscle lactate concentrations. Thus the hypothesis that a reduced importance of the glycolytic pathway is characteristic for cold-adapted polar fish cannot hold. The recovery process, especially the clearance of white muscle lactate, is significantly faster in the Antarctic than in temperate eelpout. Based on metabolite data, we calculated that during the first hour of recovery aerobic metabolism is increased 6.6-fold compared with resting rates in P. brachycephalum vs. an only 2.9-fold increase in Z. viviparus. This strong stimulation of aerobic metabolism despite low temperatures may be caused by a pronounced increase of free ADP levels, in the context of higher levels of pHi and ATP, which is observed in the Antarctic species. Although basal metabolic rates are identical in both species, the comparison of metabolic rates during situations of high-energy turnover reveals that the stenothermal P. brachycephalum shows a higher degree of metabolic cold compensation than the eurythermal Z. viviparus. Muscular fatigue after escape swimming may be caused by a drop of the free energy change of ATP hydrolysis, which is shown to fall below critical levels for cellular ATPases in exhausted animals of both species.</t>
  </si>
  <si>
    <t>Hardewig, I (corresponding author), Alfred Wegener Inst Polar &amp; Marine Res, Columbusstr, D-27568 Bremerhaven, Germany.</t>
  </si>
  <si>
    <t>Pörtner, Hans-O./K-9429-2016; Pörtner, Hans-O./ISU-9397-2023</t>
  </si>
  <si>
    <t>Pörtner, Hans-O./0000-0001-6535-6575;</t>
  </si>
  <si>
    <t>AMER PHYSIOLOGICAL SOC</t>
  </si>
  <si>
    <t>0363-6119</t>
  </si>
  <si>
    <t>AM J PHYSIOL-REG I</t>
  </si>
  <si>
    <t>Am. J. Physiol.-Regul. Integr. Comp. Physiol.</t>
  </si>
  <si>
    <t>JUN</t>
  </si>
  <si>
    <t>R1789</t>
  </si>
  <si>
    <t>R1796</t>
  </si>
  <si>
    <t>10.1152/ajpregu.1998.274.6.R1789</t>
  </si>
  <si>
    <t>Physiology</t>
  </si>
  <si>
    <t>ZQ835</t>
  </si>
  <si>
    <t>WOS:000073907700034</t>
  </si>
  <si>
    <t>Ballatore, P; Engebretson, MJ; Maclennan, CG; Candidi, M</t>
  </si>
  <si>
    <t>Ground based observations of Pc3-Pc5 geomagnetic pulsation power at Antarctic McMurdo station</t>
  </si>
  <si>
    <t>magnetospheric physics; geomagnetic pulsations; hydromagnetic waves; Antarctica</t>
  </si>
  <si>
    <t>MAGNETIC PULSATIONS; LATITUDES; CLEFT; CUSP</t>
  </si>
  <si>
    <t>The two horizontal geomagnetic components H and D, measured by a fluxgate magnetometer at Antarctic McMurdo station (corrected geomagnetic coordinates 80.0 S, 327.5 E), are analyzed for the period May-June 1994; the spectral powers are calculated and integrated over three frequency intervals corresponding to the nominal Pc3, Pc3, Pc5 ranges. The time dependence of those integrated powers and their correlations with northern auroral indices and solar wind speed are considered. The observations are compared with previous results reported from Terra Nova Bay station (located near McMurdo at the same corrected geomagnetic latitude) during Antarctic summer intervals. The differences found between the two stations are discussed in terms of the seasonal dependence of geomagnetic field line configurations in the near cusp region.</t>
  </si>
  <si>
    <t>Lucent Technol, Bell Labs, Murray Hill, NJ 07974 USA; Augsburg Coll, Dept Phys, Minneapolis, MN 55454 USA; CNR, IFSI, Rome, Italy</t>
  </si>
  <si>
    <t>Alcatel-Lucent; Lucent Technologies; AT&amp;T; Augsburg University; Consiglio Nazionale delle Ricerche (CNR); Istituto Nazionale Astrofisica (INAF)</t>
  </si>
  <si>
    <t>Ballatore, P (corresponding author), Lucent Technol, Bell Labs, Room 1E-436,600 Mt Ave,POB 636, Murray Hill, NJ 07974 USA.</t>
  </si>
  <si>
    <t>174UW</t>
  </si>
  <si>
    <t>WOS:000079055100002</t>
  </si>
  <si>
    <t>The chimera of achievement</t>
  </si>
  <si>
    <t>Walton, David/0000-0002-7103-4043</t>
  </si>
  <si>
    <t>10.1017/S0954102098000157</t>
  </si>
  <si>
    <t>ZU756</t>
  </si>
  <si>
    <t>WOS:000074231400001</t>
  </si>
  <si>
    <t>Ainley, DG; Jacobs, SS; Ribic, CA; Gaffney, I</t>
  </si>
  <si>
    <t>Seabird distribution and oceanic features of the Amundsen and southern Bellingshausen seas</t>
  </si>
  <si>
    <t>Antarctica; ocean fronts; pack ice edge; seabird biomass; seabird distribution; Southern Ocean</t>
  </si>
  <si>
    <t>SOUTHEASTERN BERING SEA; ANTARCTIC SEABIRDS; BRANSFIELD STRAIT; EMPEROR PENGUINS; ROSS SEA; EL-NINO; PACIFIC; DENSITY; REGION; FRONTS</t>
  </si>
  <si>
    <t>We describe the distribution and estimate the abundance of seabirds in the Amundsen and southern Bellingshausen seas, and attempt to identify the mesoscale and larger ocean and ice features that explain the birds' discontinuous occurrence patterns. Our general objective was to assess if ocean fronts, especially near the continental shelf break, enhance feeding opportunities for top trophic-level predators. A variety of subsurface thermohaline fronts occurred on both sides of the shelf break, at shallower depths from west to east, and with warmer and saltier water on their northern sides. Pack ice overlaid some of these fronts, especially in the Amundsen Sea. Seabirds comprised either an ice group in pack ice or in polynyas, or an open-water group in waters north of the pack. In the Amundsen Sea, bird densities were near 0 birds km(-2) in waters overlying the continental shelf, an unexplained pattern found previously in the Ross Sea but not repeated in the Bellingshausen Sea (5 birds km(-2) over the shelf). Both groups were more abundant (densities 3-9 birds km(-2)) near the frontal zones, the ice edge and the shelf break. In the Amundsen Sea, the distribution of ice-group species was related statistically to proximity of fronts and the pack-ice edge, thermocline slope, and depth of the chlorophyll maximum; water-group distribution was related to distance to the fronts and sea-surface temperature. In the Bellingshausen Sea, distribution of both groups was related to distance to the fronts. Many thousands of petrels, found roosting during daylight on icebergs situated near the shelf break, escaped standard census techniques and, thus, are likely to have diluted positive correlations of avian occurrence patterns with physical features of the environment. While the emperor penguin was seen in high numbers and can dive deep enough to forage within the subsurface fronts, those ocean and food-web processes that apparently affect increased food availability for surface and shallow-diving foragers in the frontal regions remain unclear.</t>
  </si>
  <si>
    <t>HT Harvey &amp; Associates, Alviso, CA 95002 USA; Columbia Univ, Lamont Doherty Earth Observ, Palisades, NY 10964 USA; Univ Wisconsin, Dept Wildlife Ecol, USGS, Wisconsin Cooperat Wildlife Res Unit, Madison, WI 53706 USA</t>
  </si>
  <si>
    <t>Columbia University; United States Department of the Interior; United States Geological Survey; University of Wisconsin System; University of Wisconsin Madison</t>
  </si>
  <si>
    <t>HT Harvey &amp; Associates, POB 1180, Alviso, CA 95002 USA.</t>
  </si>
  <si>
    <t>jarveyecology@worldnet.att.net</t>
  </si>
  <si>
    <t>10.1017/S0954102098000169</t>
  </si>
  <si>
    <t>WOS:000074231400002</t>
  </si>
  <si>
    <t>Andersen, DT; Mckay, CP; Wharton, RA</t>
  </si>
  <si>
    <t>Dissolved gases in perennially ice-covered lakes of the McMurdo dry valleys, Antarctica</t>
  </si>
  <si>
    <t>Antarctica; dissolved gases; perennially ice-covered lakes; supersaturation</t>
  </si>
  <si>
    <t>OXYGEN SUPERSATURATION; PHYSICAL CONTRIBUTIONS; SIMULATION; WATER</t>
  </si>
  <si>
    <t>Measurements of dissolved N-2, O-2, Ar, CO2, and CH4 were made in perennially ice-covered Lake Hoare. Results confirm previous reports that O-2 concentrations in the upper water column exceed atmospheric equilibrium and that N-2 and Ar are supersaturated throughout the water column. The mean supersaturation of N-2 was found to be 2.0 (+/-0.37) and Ar was 3.8 (+/-1.1). The ratios of N-2/Ar (20.3 +/- 3.8), and O-2/Ar (22.5 +/- 4.0) at the ice-water interface are consistent with those previously measured, suggesting that bubble formation is the main process for removing gas from the lake. However, the saturations of N-2 and Ar greatly exceed those previously predicted for degassing by bubble formation only at the ice-water interface. The data support the hypothesis that removal of gas by bubbles occurs in the water column to a depth of 11 m in Lake Hoare. CO2 concentration increases from near zero at the ice-water interface to 80-100 times saturation at and below the chemocline at c. 28 m. There is considerable variability in the gas concentrations throughout the water column; samples separated in depth by one metre may vary by more than 50% in gas content. It is likely that this phenomenon results from the lack of turbulent mixing in the water column. Methane (c. 2 mu g 1(-1)) was detected below the chemocline and immediately above the sediment/water interface at a depth of 30 m. Samples from lakes Vanda, Joyce, and Miers, also show supersaturations of O-2, N-2, and Ar at levels similar to levels found in Lake Hoare.</t>
  </si>
  <si>
    <t>NASA, Ames Res Ctr, SETI Inst, Moffett Field, CA 94035 USA; NASA, Ames Res Ctr, Div Space Sci, Moffett Field, CA 94035 USA; Univ Nevada, Desert Res Inst, Reno, NV 89506 USA</t>
  </si>
  <si>
    <t>National Aeronautics &amp; Space Administration (NASA); NASA Ames Research Center; National Aeronautics &amp; Space Administration (NASA); NASA Ames Research Center; Nevada System of Higher Education (NSHE); University of Nevada Reno; Desert Research Institute NSHE</t>
  </si>
  <si>
    <t>Andersen, DT (corresponding author), NASA, Ames Res Ctr, SETI Inst, MS 245-3, Moffett Field, CA 94035 USA.</t>
  </si>
  <si>
    <t>Andersen, Dale T/B-4816-2013</t>
  </si>
  <si>
    <t>Andersen, Dale T/0000-0001-8827-1259; McKay, Christopher/0000-0002-6243-1362</t>
  </si>
  <si>
    <t>NCI NIH HHS [NCA2-799] Funding Source: Medline</t>
  </si>
  <si>
    <t>10.1017/S0954102098000170</t>
  </si>
  <si>
    <t>WOS:000074231400003</t>
  </si>
  <si>
    <t>Cunningham, WL; Leventer, A</t>
  </si>
  <si>
    <t>Diatom assemblages in surface sediments of the Ross Sea: relationship to present oceanographic conditions</t>
  </si>
  <si>
    <t>Antarctica; diatoms; Ross Sea; sea ice; surface sediments; Thalassiosira antarctica</t>
  </si>
  <si>
    <t>ANTARCTIC PACK-ICE; WATER-COLUMN ASSEMBLAGES; WEDDELL-SEA; BIOGENIC-SILICA; CONTINENTAL-SHELF; MCMURDO SOUND; MICROBIAL COMMUNITIES; SOUTHERN-OCEAN; ARTHUR HARBOR; FRAZIL ICE</t>
  </si>
  <si>
    <t>Fifty four surface sediment samples from the western and central Ross Sea were examined to determine relationships between modem oceanographic conditions and surface sediment diatom assemblages. A centered R mode principal components analysis demonstrates four geographically distinct assemblages. The assemblage just north of the Ross Ice Shelf in the central Ross Sea is most closely associated with Stephanopyxis spp. (a heavily silicified diatom abundant during the Pliocene), and may result from a combination of winnowing/reworking, and modern flux of primarily non-siliceous algae. The algal assemblage in the western part of the central Ross Sea is most closely associated with Thalassiosira gracilis (an open water diatom), and reflects early seasonal pack ice break up during the late spring inception of the Ross Sea polynya. The algal assemblage north of Drygalski Ice Tongue, in the western Ross Sea, is most closely associated with Fragilariopsis curta (a diatom common in stratified ice edge zones), suggesting that water column seeding by species melting out of coastal sea ice is important in this area. The assemblage south of Drygalski Ice Tongue is most closely associated with resting spores of Thalassiosira antarctica (a diatom associated with coastal waters). Although the habitat of T. antarctica requires future research, we speculate that sea ice conditions unique to area B support an autumnal T. antarctica bloom.</t>
  </si>
  <si>
    <t>Univ Colorado, Dept Geol Sci, Inst Arctic &amp; Alpine Res, Boulder, CO 80309 USA; Colgate Univ, Dept Geol, Hamilton, NY 13346 USA</t>
  </si>
  <si>
    <t>University of Colorado System; University of Colorado Boulder; Colgate University</t>
  </si>
  <si>
    <t>Cunningham, WL (corresponding author), Univ Colorado, Dept Geol Sci, Inst Arctic &amp; Alpine Res, Boulder, CO 80309 USA.</t>
  </si>
  <si>
    <t>Leventer, Amy/0000-0001-9401-0987</t>
  </si>
  <si>
    <t>10.1017/S0954102098000182</t>
  </si>
  <si>
    <t>WOS:000074231400004</t>
  </si>
  <si>
    <t>Tatian, M; Sahade, RJ; Doucet, ME; Esnal, GB</t>
  </si>
  <si>
    <t>Ascidians (Tunicata, ascidiacea) of Potter cove, South Shetland islands, Antarctica</t>
  </si>
  <si>
    <t>Antarctica; Ascidiacea; distribution; diversity; ice action; substrate types</t>
  </si>
  <si>
    <t>Certain physical factors, substrate type and ice action appear to be important determinants for ascidian distribution. Three different substrate types were sampled at depths between 0-30 m by SCUBA diving: soft bottoms, hard bottoms and moraine deposits. The species found were Aplidium radiatum, Synoicum adareanum, Distaplia cylindrica Sycozoa gaimardi, Sycozoasigillinoides, Tylobranchion speciosum, Corella eumyota, Ascidia challengeri, Cnemidocarpa verrucosa, Styela wandeli, Dicarpa insinuosa, Pyura bouvetensis, Pyura discovery, Pyura obesa, Pyura setosa, Molgula enodis and Molgula pedunculata. Highest diversity and patchy distribution was found in less stringent environments, where epibiosis is a commmon phenomenon on stolidobranch ascidians. Differences in stalk development were found in the most abundant species Molgula pedunculata and Cnemidocarpa verrucosa. Ice action may be the main factor that determines the absence of ascidians above 15 m in all the stations sampled.</t>
  </si>
  <si>
    <t>Univ Nacl Cordoba, Fac Ciencias Exactas Fis &amp; Nat, Catedra Anat Comparada, RA-5000 Cordoba, Argentina; Univ Nacl Cordoba, Ctr Zool Aplicada, RA-5000 Cordoba, Argentina; Univ Buenos Aires, Fac Ciencias Exactas &amp; Nat, Dept Ciencias Biol, RA-1428 Buenos Aires, DF, Argentina</t>
  </si>
  <si>
    <t>National University of Cordoba; National University of Cordoba; University of Buenos Aires</t>
  </si>
  <si>
    <t>Tatian, M (corresponding author), Univ Nacl Cordoba, Fac Ciencias Exactas Fis &amp; Nat, Catedra Anat Comparada, Av Velez Sarsfield 299, RA-5000 Cordoba, Argentina.</t>
  </si>
  <si>
    <t>Sahade, Ricardo/0000-0001-5650-8135</t>
  </si>
  <si>
    <t>WOS:000074231400005</t>
  </si>
  <si>
    <t>Urban, HJ; Mercuri, G</t>
  </si>
  <si>
    <t>Population dynamics of the bivalve Laternula elliptica from Potter cove, King George Island, South Shetland islands</t>
  </si>
  <si>
    <t>maritime Antarctic; growth; Laternula elliptica; mortality; population dynamics; production; reproduction</t>
  </si>
  <si>
    <t>MARINE BENTHIC INVERTEBRATES; ADAMUSSIUM-COLBECKI; ADAPTATIONS; BAY</t>
  </si>
  <si>
    <t>Body size, geographical distribution and biomass make Laternula elliptica one of the most important bivalve species of the Antarctic. A complete study on the population dynamics (reproduction cycle, growth, mortality and productivity) of this species from King George Island gave growth parameters for the von-Bertalanffy-growth-function of: L-infinity= 112.2mm, K=0. 160yr(-1),t(0)=0.000yr. Total mortality was estimated as Z = 0.392 yr(-1). Somatic production and mean biomass of two distinct sub-populations were 8.7 and 67.3 g AFDW m(-2) yr(-1) at Beach &amp; Glacier and 20.0 and 88.6 g AFDW m(-2) yr(-1) at Punta Elefante. The following P/(B) over bar values were calculated; Beach &amp; Glacier = 0.129, Punta Elefante = 0.226. It is suggested that these differences are linked to mortality caused by icebergs which is expected to be higher at the shallower Punta Elefante site.</t>
  </si>
  <si>
    <t>INVEMAR, Santa Maria AA 1016, Colombia; Inst Antartico Argentino, RA-1010 Buenos Aires, DF, Argentina</t>
  </si>
  <si>
    <t>Urban, HJ (corresponding author), INVEMAR, Santa Maria AA 1016, Colombia.</t>
  </si>
  <si>
    <t>10.1017/S0954102098000200</t>
  </si>
  <si>
    <t>WOS:000074231400006</t>
  </si>
  <si>
    <t>Jonkers, HA</t>
  </si>
  <si>
    <t>Stratigraphy of Antarctic late Cenozoic pectinid-bearing deposits</t>
  </si>
  <si>
    <t>Antarctica; Cenozoic; extinction; palaeontology; pectinids; stratigraphy</t>
  </si>
  <si>
    <t>PLIOCENE MARINE-SEDIMENTS; EAST ANTARCTICA; ICE-SHEET; CLIMATE; COASTLINE; FAUNA</t>
  </si>
  <si>
    <t>Antarctic late Cenozoic pectinid-bearing sedimentary strata are chiefly confined to localities in the northern part of the Antarctic Peninsula, in the McMurdo Sound area, and Marine Plain, East Antarctica. Ages of these deposits range from Oligocene to Holocene. Chlamys-like scallops, which are absent from today's Southern Ocean, thrived in Antarctic waters during both glacial and interglacial episodes, but disappeared during the Late Pliocene. Their extinction is believed to result from the combined effects of increased carbonate solubility, habitat loss and limitations in food availability, associated with major cooling.</t>
  </si>
  <si>
    <t>Jonkers, HA (corresponding author), British Antarctic Survey, NERC, Madingley Rd, Cambridge CB3 0ET, England.</t>
  </si>
  <si>
    <t>10.1017/S0954102098000212</t>
  </si>
  <si>
    <t>WOS:000074231400007</t>
  </si>
  <si>
    <t>Smellie, JL; Morris, P; Leat, PT; Turner, DB; Houghton, D</t>
  </si>
  <si>
    <t>Submarine caldera and other volcanic observations in Southern Thule, South Sandwich Islands</t>
  </si>
  <si>
    <t>British Antarctic Survey, NERC, Cambridge CB3 0ET, England; HMS Scott, BFPO Ships, London, England</t>
  </si>
  <si>
    <t>Smellie, JL (corresponding author), British Antarctic Survey, NERC, Madingley Rd, Cambridge CB3 0ET, England.</t>
  </si>
  <si>
    <t>10.1017/S0954102098000224</t>
  </si>
  <si>
    <t>WOS:000074231400008</t>
  </si>
  <si>
    <t>Del Valle, RA; Lusky, JC; Roura, R</t>
  </si>
  <si>
    <t>Glacial trough under Larsen Ice Shelf, Antarctic Peninsula</t>
  </si>
  <si>
    <t>Inst Antartico Argentino, RA-1010 Buenos Aires, DF, Argentina; Greenpeace Int, Auckland, New Zealand</t>
  </si>
  <si>
    <t>Del Valle, RA (corresponding author), Inst Antartico Argentino, Cerrito 1248, RA-1010 Buenos Aires, DF, Argentina.</t>
  </si>
  <si>
    <t>10.1017/S0954102098000236</t>
  </si>
  <si>
    <t>WOS:000074231400009</t>
  </si>
  <si>
    <t>Van den Broeke, MR</t>
  </si>
  <si>
    <t>The semi-annual oscillation and Antarctic climate. Part 1: Influence on near surface temperatures (1957-79)</t>
  </si>
  <si>
    <t>Antarctic climate; Southern Hemisphere circulation</t>
  </si>
  <si>
    <t>SOUTHERN-HEMISPHERE; SEA-LEVEL; ANNUAL CYCLE; PRESSURE; VARIABILITY; WIND</t>
  </si>
  <si>
    <t>We studied the influence of the semi-annual oscillation (SAO) on near-surface temperatures in Antarctica, using observations of 27 stations that were operational during (part of) the period 1957-79. For the annual cycle of surface pressure, the second harmonic explains 17-36% of the total variance on the Antarctic Plateau, 36-68% along the East Antarctic coast and almost 80% on the west coast of the Peninsula, and decreases further to the north. As a result of the amplification of the wave-3 structure of the circulation around Antarctica, a significant modification of the seasonal cooling is observed at many stations. The magnitude of this modification is largely determined by the strength of the temperature inversion at the surface: the percentage of the variance explained by the second harmonic of the annual temperature cycle is then largest on the Antarctic Plateau (11-18%), followed by the large ice shelves and coastal East Antarctica (6-12%) and stations at or close to the Peninsula (0-5%). A significant coupling between the half-yearly wave in surface pressure and that in surface temperature is found for coastal East Antarctica, which can be directly explained by the changes in meridional circulation brought about by the SAG. We show that the coupling of Antarctic temperatures to the meridional circulation is not only valid on the seasonal time scale of the SAG, but probably also on daily and interannual time scales. This has important implications for the interpretation of time series of Antarctic temperatures, a problem that will be addressed in part 2 of this paper.</t>
  </si>
  <si>
    <t>Norwegian Polar Inst, N-0301 Oslo, Norway</t>
  </si>
  <si>
    <t>Van den Broeke, MR (corresponding author), IMAU, POB 80-005, NL-3508 TA Utrecht, Netherlands.</t>
  </si>
  <si>
    <t>Van den Broeke, Michiel R./F-7867-2011</t>
  </si>
  <si>
    <t>Van den Broeke, Michiel R./0000-0003-4662-7565</t>
  </si>
  <si>
    <t>10.1017/S0954102098000248</t>
  </si>
  <si>
    <t>WOS:000074231400010</t>
  </si>
  <si>
    <t>The semi-annual oscillation and Antarctic climate. Part 2: Recent changes</t>
  </si>
  <si>
    <t>SOUTHERN-HEMISPHERE; INTERANNUAL VARIATIONS; ANNUAL CYCLE; SEA-LEVEL; VARIABILITY; PRESSURE; TEMPERATURE; PENINSULA; 500-MB; WIND</t>
  </si>
  <si>
    <t>Following a weakening of the semi-annual oscillation (SAO) since the mid-1970s, the half-yearly pressure wave in the Southern Hemisphere has become less significant. As a result, May/June temperatures have decreased in East Antarctica, which has moderated Antarctic warming. Spectral analysis of 87 years of pressure data at Orcadas suggest that the recent weakening of the SAO is part of the natural variability of the Southern Hemisphere circulation on decadal timescales. We interpret the time series of composite Antarctic temperature in terms of the historical strengthening and weakening of the SAG. If the dominant oscillations that occurred in the past prove to be persistent, an accelerated East Antarctic warming trend is expected for the coming decades. There are indications that the strength of the SAO is linked to the Southern Oscillation, in the sense that warm phases of the Southern Oscillation coincide with strong westerlies, a weakly developed SAO and below-average temperatures in East Antarctica. Temperatures on the west coast of the Antarctic Peninsula show strongly deviant patterns, which can not be explained by the same mechanism that applies to East Antarctica.</t>
  </si>
  <si>
    <t>broeke@fys.ruu.nl</t>
  </si>
  <si>
    <t>10.1017/S095410209800025X</t>
  </si>
  <si>
    <t>WOS:000074231400011</t>
  </si>
  <si>
    <t>Dudeney, JR; Kressman, RI; Rodger, AS</t>
  </si>
  <si>
    <t>Automated observatories for geospace research in polar regions</t>
  </si>
  <si>
    <t>Antarctic; automatic observatory; geospace; wind power</t>
  </si>
  <si>
    <t>The specification, development and deployment of an automated observatory designed to operate unattended for a year in the extreme climatic conditions of the polar regions is presented. Solar-and wind-powered electric generators are used to charge lead/acid batteries to provide a nominal 100 W of electrical power for operating scientific sensors. The equipment is housed in a highly insulated caboose (3m by 2m by 2m). The temperature in the latter is regulated using a unique thermal control system which utilizes the latent heat of 500 1 of water stored in 25-1 plastic containers. Data are logged to optical disks for collection once per year. The observatory is designed to be air-deployed using a DHC-6 aircraft. The paper discusses the rationale for designing such automated systems, the operational experience gained from several years of operation, and the application of a network of observatories to solar-terrestrial physics research.</t>
  </si>
  <si>
    <t>Dudeney, JR (corresponding author), British Antarctic Survey, NERC, Madingley Rd, Cambridge CB3 0ET, England.</t>
  </si>
  <si>
    <t>10.1017/S0954102098000261</t>
  </si>
  <si>
    <t>WOS:000074231400012</t>
  </si>
  <si>
    <t>Harangozo, SA</t>
  </si>
  <si>
    <t>An intercomparison of Antarctic sea ice extent datasets from the US Joint Ice Center (JIC) and satellite passive microwave observations for 1979-88</t>
  </si>
  <si>
    <t>Antarctica; passive microwave data; sea ice extent; US Joint Ice Center</t>
  </si>
  <si>
    <t>INTERANNUAL VARIABILITY; AIR-TEMPERATURE; RADIOMETER; CLIMATE; PROGRAM; OCEAN</t>
  </si>
  <si>
    <t>US Joint Ice Center (JIC) Antarctic sea ice extent data, the longest continuous series of its kind for this part of the world, are compared with direct passive microwave-based estimates to assess their overall consistency both spatially and temporally in the period 1979-88. Using ice edge position as a proxy for ice extent, the comparison reveals close agreement in most years, in monthly averaged ice edge positions in all Antarctic regions at the time of maximum ice extent, and also in autumn and spring in the Ross and Weddell Seas. Unexpectedly, JIC relative overestimation prevails during both autumn and spring in some other areas. Previously noted differences in JIG: and passive microwave total Antarctic extent in 1979-80 result mainly from problems in the Ross Sea. Reasons for the various discrepancies may lie in differences in the methods used to produce the datasets especially in spring but those in autumn seem to often arise for other reasons. It is found that the prevalent discrepancies in the Ross Sea in 1979-80 as well as those in spring in other regions from 1981 coincide with periods of ice extent change and the evolution/intensification of ice extent anomalies.</t>
  </si>
  <si>
    <t>Harangozo, SA (corresponding author), British Antarctic Survey, NERC, Madingley Rd, Cambridge CB3 0ET, England.</t>
  </si>
  <si>
    <t>10.1017/S0954102098000273</t>
  </si>
  <si>
    <t>WOS:000074231400013</t>
  </si>
  <si>
    <t>Seisel, S; Fluckiger, B; Rossi, MJ</t>
  </si>
  <si>
    <t>The heterogeneous reaction of N2O5 with HBr on ice comparison with N2O5+HCl</t>
  </si>
  <si>
    <t>BERICHTE DER BUNSEN-GESELLSCHAFT-PHYSICAL CHEMISTRY CHEMICAL PHYSICS</t>
  </si>
  <si>
    <t>chemical kinetics; heterogeneous reactions; interfaces</t>
  </si>
  <si>
    <t>ANTARCTIC OZONE DEPLETION; SULFURIC-ACID; HCL; CHEMISTRY; SURFACES; HNO3; KINETICS; STICKING; HOBR; H2O</t>
  </si>
  <si>
    <t>The heterogeneous reactions of N2O5 with HCl and HBr on ice have been studied in the temperature range 180 to 200 K using a Knudsen flow reactor. The uptake of N2O5 on ice in the presence of HBr was found to be strongly dependent on the HBr concentration. For the highest HBr concentrations used a maximum uptake coefficient of N2O5 of gamma=0.11 has been determined. We observed Br-2 and HONO in 80% yield as products with respect to N2O5 taken up. The uptake coefficient of N2O5 on ice in the presence of HCl was found to be 3.2.10(-2) and increased with increasing HCl concentration. ClNO2 was detected as the sole reaction product with a maximum yield of 63% with respect to N2O5 consumed. Hydrolysis of N2O5 resulting in HNO3 was found to be competitive with the title reaction. For the case of the HBr reaction the branching ratio between Br-2 and HONO formation, on the one hand, and hydrolysis of N2O5, on the other hand, has been determined. Mechanistic aspects of the heterogeneous reaction of N2O5 with HX have been discussed.</t>
  </si>
  <si>
    <t>Ecole Polytech Fed Lausanne, Swiss Fed Inst Technol, LPAS, CH-1015 Lausanne, Switzerland</t>
  </si>
  <si>
    <t>Swiss Federal Institutes of Technology Domain; Ecole Polytechnique Federale de Lausanne</t>
  </si>
  <si>
    <t>Rossi, MJ (corresponding author), Ecole Polytech Fed Lausanne, Swiss Fed Inst Technol, LPAS, CH-1015 Lausanne, Switzerland.</t>
  </si>
  <si>
    <t>Seisel, Sabine/ABA-1431-2020; ROSSI, Michel J./C-7878-2013</t>
  </si>
  <si>
    <t>Seisel, Sabine/0000-0001-7390-1262; ROSSI, Michel J./0000-0003-3504-695X</t>
  </si>
  <si>
    <t>MUHLENSTRASSE 33-34, D-13187 BERLIN, GERMANY</t>
  </si>
  <si>
    <t>0005-9021</t>
  </si>
  <si>
    <t>BER BUNSEN PHYS CHEM</t>
  </si>
  <si>
    <t>Ber. Bunsen-Ges. Phys. Chem. Chem. Phys.</t>
  </si>
  <si>
    <t>10.1002/bbpc.19981020604</t>
  </si>
  <si>
    <t>ZW060</t>
  </si>
  <si>
    <t>WOS:000074369900003</t>
  </si>
  <si>
    <t>Carginale, V; Scudiero, R; Capasso, C; Capasso, A; Kille, P; di Prisco, G; Parisi, E</t>
  </si>
  <si>
    <t>Cadmium-induced differential accumulation of metallothionein isoforms in the Antarctic icefish, which exhibits no basal metallothionein protein but high endogenous mRNA levels</t>
  </si>
  <si>
    <t>BIOCHEMICAL JOURNAL</t>
  </si>
  <si>
    <t>FISH CELL-LINES; INDUCED GENE-EXPRESSION; RAINBOW-TROUT; HEPATIC METALLOTHIONEIN; CDNA SEQUENCES; MESSENGER-RNA; I GENE; ZINC; MOUSE; LIVER</t>
  </si>
  <si>
    <t>Reverse transcriptase-mediated PCR has been used to isolate two distinct metallothionein (MT) cDNA species from RNA extracted from icefish liver, namely MT-I and MT-II. Northern blot analysis with these cDNA species revealed that significant endogenous levels of MT mRNA were present in liver tissues of normal animals despite the fact that no MT protein could be found accumulating in the same tissue. However, multiple injections of CdCl2 induced high levels of both MT mRNA and MT protein. Sequence analysis of the cDNA species that were present after cadmium injection revealed the presence of both isoforms, Quantification of the MT-I and MT-II transcripts from normal and heavy-metal-treated fish showed an alteration in the ratio of the MT isoform transcripts. Endogenous transcripts consisted mostly of MT-II, whereas the MT-I transcript was preferentially accumulated only in response to the cadmium salt. The protein encoded by each cDNA isoform was isolated from the heavy-metal-treated fish and the availability of the specific MT mRNA for translation was demonstrated by translation in vitro. These results show that: (1) there is a discrepancy between the significant endogenous levels of MT mRNA and the absence of MT protein; (2) the accumulation of MT in icefish liver can be triggered by heavy metals; (3) genes encoding distinct MT isoforms are differentially regulated by heavy metals.</t>
  </si>
  <si>
    <t>CNR, Ist Biochim Prot Enzimol, I-80125 Naples, Italy; Univ Naples Federico II, Dipartimento Biol Evolut &amp; Comparata, I-80100 Naples, Italy; Univ Coll Wales, Sch Mol &amp; Med Biosci, Cardiff CF1 3US, S Glam, Wales</t>
  </si>
  <si>
    <t>Consiglio Nazionale delle Ricerche (CNR); Istituto di Biochimica delle Proteine (IBP-CNR); University of Naples Federico II; Aberystwyth University; Cardiff University</t>
  </si>
  <si>
    <t>Parisi, E (corresponding author), CNR, Ist Biochim Prot Enzimol, Via Marconi 10, I-80125 Naples, Italy.</t>
  </si>
  <si>
    <t>parisi@dafne.ibpe.na.cnr.it</t>
  </si>
  <si>
    <t>Kille, Peter/A-4337-2010; Scudiero, Rosaria/AAI-2119-2020; Carginale, Vincenzo/N-2531-2014; CAPASSO, CLEMENTE/P-3522-2016</t>
  </si>
  <si>
    <t>PORTLAND PRESS</t>
  </si>
  <si>
    <t>59 PORTLAND PLACE, LONDON, ENGLAND W1N 3AJ</t>
  </si>
  <si>
    <t>0264-6021</t>
  </si>
  <si>
    <t>BIOCHEM J</t>
  </si>
  <si>
    <t>Biochem. J.</t>
  </si>
  <si>
    <t>JUN 1</t>
  </si>
  <si>
    <t>10.1042/bj3320475</t>
  </si>
  <si>
    <t>ZV178</t>
  </si>
  <si>
    <t>WOS:000074277900025</t>
  </si>
  <si>
    <t>Thompson, PM; Mackay, A; Tollit, DJ; Enderby, S; Hammond, PS</t>
  </si>
  <si>
    <t>The influence of body size and sex on the characteristics of harbour seal foraging trips</t>
  </si>
  <si>
    <t>ANTARCTIC FUR SEALS; TRANSIENT KILLER WHALES; PHOCA-VITULINA; MORAY FIRTH; BREEDING-SEASON; PREY ABUNDANCE; NE SCOTLAND; BEHAVIOR; MOVEMENTS; PERFORMANCE</t>
  </si>
  <si>
    <t>Most pinnipeds disperse from centralised terrestrial sites to forage at sea, but the factors that result in variation in foraging-trip characteristics remain unclear. We investigated the influence of sex and body size on the summer foraging activity of radio-tagged harbour seals (Phoca vitulina) from Scotland. Mean foraging-trip duration (range 17-257 h) was strongly correlated with mean foraging range (range 4.3-55.0 km), but both were significantly shorter for females. The proportion of time spent at sea, mean trip duration, and mean foraging range were all positively related to body size. Comparison with data from other study areas suggests that both environmental and endogenous factors shape foraging characteristics in this species. These sex and body size related differences in activity pattern and foraging range have important implications for the methodologies currently used to assess the population size, population energy requirements, and diet composition of coastal pinnipeds.</t>
  </si>
  <si>
    <t>Univ Aberdeen, Dept Zool, Lighthouse Field Stn, Cromarty IV11 8YJ, Ross, Scotland; Univ St Andrews, NERC, Gatty Marine Lab, Sea Mammal Res Unit, St Andrews KY16 8LB, Fife, Scotland</t>
  </si>
  <si>
    <t>University of Aberdeen; UK Research &amp; Innovation (UKRI); Natural Environment Research Council (NERC); University of St Andrews</t>
  </si>
  <si>
    <t>Univ Aberdeen, Dept Zool, Lighthouse Field Stn, Cromarty IV11 8YJ, Ross, Scotland.</t>
  </si>
  <si>
    <t>lighthouse@abdn.ac.uk</t>
  </si>
  <si>
    <t>Thompson, Paul Michael/AGR-6267-2022</t>
  </si>
  <si>
    <t>Thompson, Paul Michael/0000-0001-6195-3284</t>
  </si>
  <si>
    <t>10.1139/cjz-76-6-1044</t>
  </si>
  <si>
    <t>144QW</t>
  </si>
  <si>
    <t>WOS:000077327300007</t>
  </si>
  <si>
    <t>Phleger, CF; Nichols, PD; Virtue, P</t>
  </si>
  <si>
    <t>Lipids and trophodynamics of Antarctic zooplankton</t>
  </si>
  <si>
    <t>Antarctic; fatty acids; lipids; stanols; sterols; trophodynamics; zooplankton</t>
  </si>
  <si>
    <t>KRILL EUPHAUSIA-SUPERBA; FATTY-ACID; RECRUITMENT; VARIABILITY; STEROLS</t>
  </si>
  <si>
    <t>Zooplankton were collected by trawl from the Elephant Island region of the Antarctic Peninsula and from East Antarctica near 63-65 degrees S and 139-150 degrees W. Most zooplankton had low percentages of wax esters (0-8%, as percent of total lipid). High triacylglycerol levels were found in the hyperiid amphipod Themisto gaudichaudii (68%, as percent of total lipid), the krill (Euphausiacea) Euphausia tricantha (44-54% triacylglycerol) and Euphausia frigida (27% triacylglycerol) and the scyphomedusan Periphylla periphylla (42-48% triacylglycerol). Polyunsaturated fatty acids (PUFA) comprised 23-60% of the total fatty acids, with the omega-3 fatty acids eicosapentaenoic acid [20:5(n-3)] and docosahexaenoic acid [22:6(n-3)] being most abundant. P. periphylla was an exception with 12-19% docosapentaenoic acid [22:5 (n-3)] being the major PUFA. The major euphausiid sterols included cholesterol (75-92%, as percent of total sterols) and desmosterol (6-22%). The major sterols of other zooplankton were more diverse and included trans-dehydrocholesterol, 24-methylenecholesterol, brassicasterol and 24-nordehydrocholesterol. The benthic ascidian, Distaplia cylindrica, had 45% stanols, as percent of total sterols, whereas the pelagic ascidian Salpa thompsonii had only 8-11% stanols. Lipid, fatty acid and sterol data are used to examine trophodynamic interactions and provide an ability to distinguish herbivorous and carnivorous diets and determine survival and reproductive strategies. (C) 1998 Elsevier Science Inc. All rights reserved.</t>
  </si>
  <si>
    <t>San Diego State Univ, Dept Biol, San Diego, CA 92182 USA; CSIRO, Div Marine Res, Hobart, Tas 7001, Australia; CSIRO, Antarct Cooperat Res Ctr, Hobart, Tas 7001, Australia; Univ Pierre &amp; Marie Curie, CNRS, INSU, Lab Oceanol Biochim &amp; Ecol,Observ Oceanol, F-06230 Villefranche Sur Mer, France</t>
  </si>
  <si>
    <t>California State University System; San Diego State University; Commonwealth Scientific &amp; Industrial Research Organisation (CSIRO); Commonwealth Scientific &amp; Industrial Research Organisation (CSIRO); Sorbonne Universite; Centre National de la Recherche Scientifique (CNRS); CNRS - National Institute for Earth Sciences &amp; Astronomy (INSU)</t>
  </si>
  <si>
    <t>Phleger, CF (corresponding author), San Diego State Univ, Dept Biol, San Diego, CA 92182 USA.</t>
  </si>
  <si>
    <t>phleger@sunstroke.sdsu.edu</t>
  </si>
  <si>
    <t>Virtue, Patti/0000-0002-9870-1256</t>
  </si>
  <si>
    <t>10.1016/S0305-0491(98)10020-2</t>
  </si>
  <si>
    <t>116UE</t>
  </si>
  <si>
    <t>WOS:000075742600010</t>
  </si>
  <si>
    <t>Abele, D; Burlando, B; Viarengo, A; Pörtner, HO</t>
  </si>
  <si>
    <t>Exposure to elevated temperatures and hydrogen peroxide elicits oxidative stress and antioxidant response in the Antarctic intertidal limpet Nacella concinna</t>
  </si>
  <si>
    <t>Antarctic intertidal; antioxidant enzymes; H2O2; Nacella concinna; oxidative stress; starvation; temperature</t>
  </si>
  <si>
    <t>MUSSEL MYTILUS-EDULIS; DIGESTIVE CELLS; COMMON MUSSEL; MITOCHONDRIAL GENERATION; INTRACELLULAR PH; OXYGEN; ADAPTATIONS; METABOLISM; LYSOSOMES; GLAND</t>
  </si>
  <si>
    <t>This study deals with the occurrence of oxidative stress and antioxidant response in the Antarctic intertidal limpet Nucella concinna, as an effect of temperature increments and H2O2 exposure under controlled laboratory conditions. Experiments were designed to simulate transient conditions of increased T and/or H2O2 accumulation met by the limpets in intertidal rockpool habitats [5]. Specimens were collected at Jubany Station, South Shetland Islands, transferred to the Alfred-Wegener Institute, Bremerhaven and maintained in seawater aquaria at 0 degrees C. Different groups of animals were acclimated at 4 and 9 degrees C for 24-48 h (controls at 0 degrees C). The effect of starvation was studied at 0 degrees C and of H2O2 exposure at 4 degrees C. Temperature acclimation above 0 degrees C resulted in a progressive alteration of the lysosomal compartment in digestive gland cells, as shown by cytochemical analyses (lipofuscin and neutral lipid accumulation and lysosomal membrane destabilization). Concurrently, real activities of the antioxidant enzymes superoxide dismutase (SOD) and catalase (i.e. measured at the respective experimental temperature or calculated by means of previously determined Q(10) values) increased in gills and digestive gland tissues. Measurements of intracellular pH at the different temperatures showed a rise from pH 7.21 at 0 degrees C to 7.36 at 9 degrees C. These changes in pH are indicated to increase SOD activity by approximately 10% in both kinds of tissue at 9 degrees as compared to 0 degrees C. H2O2 exposure at 4 degrees C produced physiological alterations at the systemic (lowered O-2 consumption) and at the cellular levels (enhanced lysosome damage). Starvation induced lysosomal alterations in animals kept at 0 degrees C and inhibited CAT activation under H2O2 exposure at 4 degrees C. The complex of data suggests that when Nacella migrates to intertidal levels during the Austral Spring it experiences oxidative stress which induces an antioxidant response, which is facilitated by higher temperatures and increasing intracellular pH and the exploitation of intertidal food resources. Yet, the occurrence of cellular damage and systemic alterations shows that the limpets approach their boundaries of physiological tolerance during prolonged exposure to higher temperatures and H2O2 in intertidal habitats. (C) 1998 Elsevier Science Inc. All rights reserved.</t>
  </si>
  <si>
    <t>Alfred Wegener Inst Polar &amp; Marine Res, D-27568 Bremerhaven, Germany; Univ Bremen, FB 2, D-28359 Bremen, Germany; Univ Piemonte Orientale, Dipartimento Sci &amp; Tecnol Avanzate, I-15100 Alessandria, Italy</t>
  </si>
  <si>
    <t>Helmholtz Association; Alfred Wegener Institute, Helmholtz Centre for Polar &amp; Marine Research; University of Bremen; University of Eastern Piedmont Amedeo Avogadro</t>
  </si>
  <si>
    <t>Alfred Wegener Inst Polar &amp; Marine Res, Bio 1,Box 120161 Columbusstr, D-27568 Bremerhaven, Germany.</t>
  </si>
  <si>
    <t>abele@awi-bremerhaven.de</t>
  </si>
  <si>
    <t>Pörtner, Hans-O./ISU-9397-2023; Pörtner, Hans-O./K-9429-2016</t>
  </si>
  <si>
    <t>Pörtner, Hans-O./0000-0001-6535-6575; Viarengo, Aldo/0000-0002-1557-6526; Burlando, Bruno/0000-0001-7545-0311; Abele, Doris/0000-0002-5766-5017</t>
  </si>
  <si>
    <t>360 PARK AVE SOUTH, NEW YORK, NY 10010-1710 USA</t>
  </si>
  <si>
    <t>1096-4959</t>
  </si>
  <si>
    <t>1879-1107</t>
  </si>
  <si>
    <t>10.1016/S0305-0491(98)10028-7</t>
  </si>
  <si>
    <t>WOS:000075742600022</t>
  </si>
  <si>
    <t>Bergeret, V; Bekki, S; Godin, S; Megie, G</t>
  </si>
  <si>
    <t>Antarctic ozone seasonal variation analysis in the lower stratosphere from Lidar and Sounding measurements at Dumont d'Urville</t>
  </si>
  <si>
    <t>French</t>
  </si>
  <si>
    <t>ozone; vortex; destruction; subsidence; confinement</t>
  </si>
  <si>
    <t>POLAR VORTEX</t>
  </si>
  <si>
    <t>Average subsidence in the Antarctic lower stratosphere for the austral fall of 1994 and 1996 and ozone destruction rates during the spring are derived from ozone measurements made at Dumont d'Urville (140.1E, 66.4S). The comparison with POAM II data suggests that ozone destruction within the vortex starts earlier on the edge than in the centre. The vortex sampling in 1996 allows us to study the vortex confinement and to confirm its role of isolating barrier above 400 K. (C) Academie des sciences/Elsevier, Paris.</t>
  </si>
  <si>
    <t>UVSQ, Unite Mixte CNRS UPMC, Serv Aeron, F-75252 Paris 05, France</t>
  </si>
  <si>
    <t>Sorbonne Universite; Universite Paris Saclay; Universite Paris Cite</t>
  </si>
  <si>
    <t>UVSQ, Unite Mixte CNRS UPMC, Serv Aeron, 4 Pl Jussieu,Boite 102, F-75252 Paris 05, France.</t>
  </si>
  <si>
    <t>vbe@aero.jussieu.fr</t>
  </si>
  <si>
    <t>bekki, slimane/J-7221-2015</t>
  </si>
  <si>
    <t>bekki, slimane/0000-0002-5538-0800</t>
  </si>
  <si>
    <t>ELSEVIER FRANCE-EDITIONS SCIENTIFIQUES MEDICALES ELSEVIER</t>
  </si>
  <si>
    <t>ISSY-LES-MOULINEAUX</t>
  </si>
  <si>
    <t>65 RUE CAMILLE DESMOULINS, CS50083, 92442 ISSY-LES-MOULINEAUX, FRANCE</t>
  </si>
  <si>
    <t>10.1016/S1251-8050(98)80239-5</t>
  </si>
  <si>
    <t>103XW</t>
  </si>
  <si>
    <t>WOS:000074984000001</t>
  </si>
  <si>
    <t>Wharton, DA; Worland, MR</t>
  </si>
  <si>
    <t>Ice nucleation activity in the freezing-tolerant antarctic nematode Panagrolaimus davidi</t>
  </si>
  <si>
    <t>Panagrolaimus davidi; nematode; Antarctic; ice nucleation; freezing tolerance</t>
  </si>
  <si>
    <t>RECRYSTALLIZATION; INHIBITION; PROTEINS; SURVIVAL</t>
  </si>
  <si>
    <t>Ice nucleation spectrometry was used to look for the presence of ice nucleating agents (INAs), and their inhibitors, in cultures of Panagrolaimus davidi, an Antarctic nematode which survives intracellular freezing. INA activity was absent in both nematode suspensions and homogenates. The nematodes produce a substance which inhibits the nucleation activity of organic INAs but not of an inorganic WA (AgI). The nucleation inhibitor is both released from the nematode by homogenization and excreted by them into the medium, but the former was more effective at inhibiting nucleation. The inhibitory activity was destroyed by heating. A thermal hysteresis protein, or a similar ice-active substance, may be responsible for the nucleation inhibition. (C) 1998 Academic Press.</t>
  </si>
  <si>
    <t>Univ Otago, Dept Zool, Dunedin, New Zealand; British Antarctic Survey, NERC, Cambridge CB3 0ET, England</t>
  </si>
  <si>
    <t>University of Otago; UK Research &amp; Innovation (UKRI); Natural Environment Research Council (NERC); NERC British Antarctic Survey</t>
  </si>
  <si>
    <t>10.1006/cryo.1998.2087</t>
  </si>
  <si>
    <t>ZV157</t>
  </si>
  <si>
    <t>WOS:000074275400004</t>
  </si>
  <si>
    <t>Arhan, M; Mercier, H; Bourles, B; Gouriou, Y</t>
  </si>
  <si>
    <t>Hydrographic sections across the Atlantic at 7°30N and 4°30S</t>
  </si>
  <si>
    <t>WESTERN BOUNDARY CURRENT; TOTAL GEOSTROPHIC CIRCULATION; BRAZIL CURRENT RETROFLECTION; TROPICAL NORTH-ATLANTIC; ANTARCTIC BOTTOM WATER; EQUATORIAL ATLANTIC; SOUTH-ATLANTIC; DEEP CURRENTS; FRENCH-GUIANA; FLOW PATTERNS</t>
  </si>
  <si>
    <t>Transatlantic hydrographic sections along 7 degrees 30N and 4 degrees 30S, and shorter meridional ones along 35 degrees W and 4 degrees W in the intervening latitudinal range, provide a basin-wide description of the Atlantic water masses at their crossing of the equator. The water masses belonging to either the cold or warm segment of the global thermohaline cell enter the equatorial region mostly in the form of western boundary currents. The ways they leave it are more varied. The Ekman drift and a geostrophic western boundary current cause the export of nearsurface water to the North Atlantic. A part of the southern Salinity Maximum Water, regarded as the shallowest warm water component, is thought to follow this route after experiencing strong property modification in the equatorial upwelling, The underlying South Atlantic Central Water divides into two northward paths, a direct one along the south American continental slope, hardly observed in the data because of an intense variability in the western half of the 7 degrees 30N line, and a longer one through the eastern basin, taken by water of the equatorial thermostad, There is no trace of such an eastern northward route for the Antarctic Intermediate Water, which is apparently forced northward from the equatorial region through the highly variable circulation of the western basin. The deep western boundary currents carrying southward the upper and middle components of the North Atlantic Deep Water experience a first partial shift to the eastern boundary on crossing the equator. At deeper levels, a part of the lower North Atlantic Deep Water also bifurcates eastward at the equator, but loses its identity through vertical mixing with the Antarctic Bottom Water in the equatorial fracture zones. The newly formed homogeneous bottom water proceeds eastward in the Guinea Basin, with further indication of an overflow into the Angola Basin. Beside the North Atlantic Deep Water, the deep layer of the equatorial region contains a lower-oxygen component, most clearly present between the middle and lower cores of the North Atlantic Deep Water. Previous results on this water are substantiated, namely, an arrival from the southeast, and northwestward crossing of the equator offshore from the deep western boundary current of northern water. A further northward progression of the southern water requires that the equatorial branching of the southward deep boundary current be only intermittent. A comparison of the temperatures along 7 degrees 30N in 1993 with those obtained at 8 degrees N during the International Geophysical Year, 36 years before, reveals a net warming of the intermediate and upper deep waters, and cooling of the bottom water. This result is similar to that obtained at 24 degrees N by other authors, yet there are signs of a southward propagation of a deep cold anomaly in the western basin, which had reached 24 degrees N in 1992, but not yet 7 degrees 30N in 1993. (C) 1998 Elsevier Science Ltd. All rights reserved.</t>
  </si>
  <si>
    <t>Univ Bretagne Occidentale, IFREMER, CNRS, Ctr Brest,Lab Phys Oceans, F-29280 Plouzane, France; ORSTOM, Ctr Brest, F-29280 Plouzane, France</t>
  </si>
  <si>
    <t>Centre National de la Recherche Scientifique (CNRS); Ifremer; Institut de Recherche pour le Developpement (IRD); Universite de Bretagne Occidentale; Institut de Recherche pour le Developpement (IRD)</t>
  </si>
  <si>
    <t>Arhan, M (corresponding author), Univ Bretagne Occidentale, IFREMER, CNRS, Ctr Brest,Lab Phys Oceans, BP 70, F-29280 Plouzane, France.</t>
  </si>
  <si>
    <t>marhan@ifremer.fr</t>
  </si>
  <si>
    <t>Bernard, BOURLES/I-4673-2015; MERCIER, Herle/L-4161-2015</t>
  </si>
  <si>
    <t>Bernard, BOURLES/0000-0001-6515-4519; MERCIER, Herle/0000-0002-1940-617X</t>
  </si>
  <si>
    <t>10.1016/S0967-0637(98)00001-6</t>
  </si>
  <si>
    <t>103XV</t>
  </si>
  <si>
    <t>WOS:000074983900001</t>
  </si>
  <si>
    <t>Oudot, C; Morin, P; Baurand, F; Wafar, M; Le Corre, P</t>
  </si>
  <si>
    <t>Northern and southern water masses in the equatorial Atlantic: distribution of nutrients on the WOCE A6 and A7 lines</t>
  </si>
  <si>
    <t>WESTERN BOUNDARY CURRENT; TOTAL GEOSTROPHIC CIRCULATION; ANTARCTIC INTERMEDIATE WATER; BOTTOM WATER; FLOW PATTERNS; BRAZIL BASIN; OCEAN; TRANSPORTS; SILICATE; TRACERS</t>
  </si>
  <si>
    <t>In the framework of the WOCE Hydrographic Program, two trans-Atlantic CTDO/tracer sections with closely-spaced stations, along 7 degrees 30'N and 4 degrees 30'S (WHP Lines A6 and A7), and two meridional sections, along 3 degrees 50'W and 35 degrees W joining the two zonal sections, were occupied in January-March 1993 (CITHER 1 cruise on board the N/O L'ATALANTE). CTD profiles and nutrient (silicate, phosphate and nitrate) data at 32 depths between surface and bottom were obtained at each station. The distributions on vertical sections, and on isopycnal surfaces, of these three chemical tracers are presented and discussed in the context of large-scale circulation in the equatorial Atlantic Ocean. The nutrient fields are used to show the main components of the circulation on four main levels: near-surface, intermediate, deep and bottom layers. Near the surface the nutrient distribution pattern is dominated by westward advective flows on either side of the equator from the eastern regions enriched by coastal upwellings, Beneath the lower thermocline water, high silicate concentrations (at about 1000 m depth), at a larger depth than that of the salinity minimum of the Antarctic Intermediate Water, enable a differentiation of the Upper Circumpolar Water (UCPW) from the former. In the deeper layers, the nutrient distribution confirms the bifurcation of the Deep Western Boundary Current (DWBC), carrying the North Atlantic Deep Water, at the equator into an eastward flow and another one continuing southward along the western boundary. The eastward flow of the UNADW along the equator can be traced as far as 3 degrees 50'W, The analysis of nutrient distribution on isopycnal surfaces also shows the existence of recirculation components of the DWBC in the western equatorial region. The northward succession of bottom concentrations of silicate and phosphate indicates that the flow of the Antarctic Bottom Water (AABW) exiting the Brazil Basin is topographically constrained along the equator. The higher silicate and phosphate concentrations in the near-bottom waters west of the Mid-Atlantic Ridge (MAR) and north of the equator indicate that the main flow of bottom waters is northwestward rather than through the equatorial fracture zones into the eastern Atlantic. Finally, the distributions of silicate and phosphate on near-bottom and isopycnal surfaces suggests a recirculation of AABW in the northern part of the Brazil Basin. (C) 1998 Elsevier Science Ltd. All rights reserved.</t>
  </si>
  <si>
    <t>ORSTOM, Ctr Brest, F-29280 Plouzane, France; Univ Bretagne Occidentale, F-29682 Roscoff, France; Observ Oceanol Roscoff, F-29682 Roscoff, France; Natl Inst Oceanog, Panaji 403004, Goa, India</t>
  </si>
  <si>
    <t>Institut de Recherche pour le Developpement (IRD); Universite de Bretagne Occidentale; Sorbonne Universite; Council of Scientific &amp; Industrial Research (CSIR) - India; CSIR - National Institute of Oceanography (NIO)</t>
  </si>
  <si>
    <t>Oudot, C (corresponding author), ORSTOM, Ctr Brest, BP 70, F-29280 Plouzane, France.</t>
  </si>
  <si>
    <t>oudot@orstom.fr</t>
  </si>
  <si>
    <t>Morin, Pascal/AHI-3070-2022</t>
  </si>
  <si>
    <t>Morin, Pascal/0000-0003-2766-1821</t>
  </si>
  <si>
    <t>10.1016/S0967-0637(98)00002-8</t>
  </si>
  <si>
    <t>WOS:000074983900002</t>
  </si>
  <si>
    <t>Andrie, C; Ternon, JF; Messias, MJ; Memery, L; Bourles, B</t>
  </si>
  <si>
    <t>Chlorofluoromethane distributions in the deep equatorial Atlantic during January-March 1993</t>
  </si>
  <si>
    <t>WESTERN BOUNDARY CURRENT; TROPICAL NORTH-ATLANTIC; ANTARCTIC BOTTOM WATER; LABRADOR SEA-WATER; CURRENT VARIABILITY; FRENCH-GUIANA; GULF-STREAM; OCEAN; CIRCULATION; TRANSPORTS</t>
  </si>
  <si>
    <t>Chlorofluoromethanes were sampled along two zonal sections, at 4 degrees 30 S and 7 degrees 30 N between the African and American continents (A7 and A6 WOCE sections) and two meridional sections, at 35 degrees W and 3 degrees 50W, during the CITHER 1 cruise (part of the French program CITHER (CIrculation THERmohaline) during January-March 1993. The results reported here deal primarily with the North Atlantic Deep Water, just ten years after the first CFM snapshot of the tropical Atlantic ocean obtained during the Transient Tracers in the Ocean Program (TTO) (Weiss et al., 1985. Nature 314, 608-610). The data provide evidence for the eastward bifurcation of the deep flow near the equator, on both UNADW and LNADW levels. The distributions clearly show the CFM signal corresponding to the UNADW penetrating into the eastern basin: at 3 degrees 50W the CFM core extends from 4 degrees S to 3 degrees N with a maximum around 2 degrees S. On both UNADW and LNADW levels, the bifurcation does not occur exactly on the equator but a few degrees south and seems to be partly induced by topographic effects. Previously published circulation schemes for UNADW and LNADW levels are compared to the CITHER 1 CFM data. Great variability is revealed and new patterns from the data are highlighted. The young deep component of the AABW flow seems to be stopped by the topography just north of the equatorial channel. TTO and CITHER 1 data set comparison and apparent ages lead to minimal values of the propagation rate of the CFC signal at low latitudes. (C) 1998 Elsevier Science Ltd. All rights reserved.</t>
  </si>
  <si>
    <t>Univ Paris, ORSTOM, CNRS, Lab Oceanog Dynam &amp; Climatol, Paris, France; ORSTOM, Inst Francais Rech Dev Cooperat, Cayenne, French Guiana</t>
  </si>
  <si>
    <t>Centre National de la Recherche Scientifique (CNRS); Universite Paris Cite; Institut de Recherche pour le Developpement (IRD); Institut de Recherche pour le Developpement (IRD)</t>
  </si>
  <si>
    <t>Andrie, C (corresponding author), Univ Paris, ORSTOM, CNRS, Lab Oceanog Dynam &amp; Climatol, Paris, France.</t>
  </si>
  <si>
    <t>; Bernard, BOURLES/I-4673-2015</t>
  </si>
  <si>
    <t>Ternon, Jean-Francois/0000-0002-1396-8921; Bernard, BOURLES/0000-0001-6515-4519; Messias, Marie-Jose/0000-0002-3852-2854</t>
  </si>
  <si>
    <t>10.1016/S0967-0637(98)00003-X</t>
  </si>
  <si>
    <t>WOS:000074983900003</t>
  </si>
  <si>
    <t>Stark, JS</t>
  </si>
  <si>
    <t>Effects of copper on macrobenthic assemblages in soft sediments: a laboratory experimental study</t>
  </si>
  <si>
    <t>ECOTOXICOLOGY</t>
  </si>
  <si>
    <t>copper, heavy metals; laboratory experiment; soft sediment; macrofauna; assemblages</t>
  </si>
  <si>
    <t>HEAVY-METALS; COMMUNITY STRUCTURE; SPATIAL VARIATION; MARINE-SEDIMENTS; BENTHIC COMMUNITIES; MESOCOSM EXPERIMENT; POLLUTION; MACROFAUNA; CADMIUM; SIZE</t>
  </si>
  <si>
    <t>Assemblages of marine benthic invertebrates have been shown to differ in areas with or without contamination by heavy metals. In this study, soft sediment assemblages were exposed to sediments and water treated with copper (in the form of Cu EDTA) in a laboratory experiment to test the hypothesis that copper could create differences in infaunal assemblages. The patterns of survival of all taxa were monitored and compared to the controls. Copper was found to reduce the abundance of most taxa, but the size of the response varied between taxa. Crustaceans were particularly sensitive to both the laboratory conditions and copper and were the most severely affected. Polychaetes were more resilient, surviving well in the controls and being reduced in abundance in polluted treatments, but with some families persisting in even the severely polluted treatment until the end of the experiment. Bivalves and gastropods were also reduced in number in the polluted treatments and unaffected in the controls. Oligochaetes and nemerteans did not respond in any particular pattern to any treatment or control. The results are discussed in relation to extrapolating results from ecotoxicological studies to predictions of ecosystem response to heavy metal pollution and pollution in general. It is concluded that laboratory ecotoxicological studies provide excellent evidence for potential effects. If used in collaboration with surveys and manipulative experiments in the field they can demonstrate causal links between pollutants and environmental impacts.</t>
  </si>
  <si>
    <t>Univ Sydney, Inst Marine Ecol, Marine Ecol Labs, Sydney, NSW 2006, Australia</t>
  </si>
  <si>
    <t>University of Sydney</t>
  </si>
  <si>
    <t>Stark, JS (corresponding author), Australian Antarctic Div, Channel Highway, Kingston, Tas 7050, Australia.</t>
  </si>
  <si>
    <t>Ross, Donald J/F-7607-2012; Stark, Jonathan/ABF-4025-2020</t>
  </si>
  <si>
    <t>Stark, Jonathan/0000-0002-4268-8072</t>
  </si>
  <si>
    <t>0963-9292</t>
  </si>
  <si>
    <t>Ecotoxicology</t>
  </si>
  <si>
    <t>10.1023/A:1014356327595</t>
  </si>
  <si>
    <t>Ecology; Environmental Sciences; Toxicology</t>
  </si>
  <si>
    <t>Environmental Sciences &amp; Ecology; Toxicology</t>
  </si>
  <si>
    <t>ZN243</t>
  </si>
  <si>
    <t>WOS:000073626200005</t>
  </si>
  <si>
    <t>Tsigos, I; Velonia, K; Smonou, I; Bouriotis, V</t>
  </si>
  <si>
    <t>Purification and characterization of an alcohol dehydrogenase from the Antarctic psychrophile Moraxella sp. TAE123</t>
  </si>
  <si>
    <t>EUROPEAN JOURNAL OF BIOCHEMISTRY</t>
  </si>
  <si>
    <t>alcohol dehydrogenase; aldehyde dehydrogenase; chromatography; psychrophile; cold adaptation</t>
  </si>
  <si>
    <t>ALDEHYDE DEHYDROGENASE; MOLECULAR CHARACTERIZATION; CLASS-I; GENE; SEQUENCE; ENZYMES; IDENTIFICATION; ISOZYMES; PROTEINS; BINDING</t>
  </si>
  <si>
    <t>An NAD(+)-dependent alcohol dehydrogenase (ADH) of the Antarctic psychrophile Moraxella sp. TAE123 was purified to homogeneity with an overall yield of 16.7% and further characterized. The native enzyme had an apparent molecular mass of 240 kDa and consisted of four identical 52-kDa subunits. The pi of the enzyme was determined to be 5.5, while its optimum pH is 7.5. The enzyme contained 1 zinc atom/subunit and exhibited a remarkable thermal lability. Moraxella sp. TAE123 ADH exhibited a wide range of substrate specificity similar to its mammalian counterparts and in contrast to other microbial ADI-Is. It oxidized mainly primary and secondary aliphatic alcohols. The highest reaction rate was observed when ethanol was used as substrate. A gradual decrease in rate was observed by increasing the length and branching of the carbon chain of the alcohol. This enzyme oxidized effectively large bulky alcohols, such as diphenylmethanol. Reduction of aldehydes and ketones was also observed. N-terminal amino acid sequence analysis of the enzyme did not reveal any similarity with the amino termini of all other ADHs, while an unexpected significant similarity was observed with the amino terminal sequence of four prokaryotic aldehyde dehydrogenases.</t>
  </si>
  <si>
    <t>Inst Mol Biol &amp; Biotechnol, Enzyme Technol Div, GR-71110 Iraklion, Crete, Greece; Univ Crete, Dept Biol, Div Appl Biol &amp; Biotechnol, Rethimnon, Crete, Greece; Univ Crete, Dept Chem, Div Organ Chem, Rethimnon, Crete, Greece</t>
  </si>
  <si>
    <t>University of Crete; University of Crete</t>
  </si>
  <si>
    <t>Inst Mol Biol &amp; Biotechnol, Enzyme Technol Div, POB 1515, GR-71110 Iraklion, Crete, Greece.</t>
  </si>
  <si>
    <t>Smonou, Ioulia/B-1684-2012; Smonou, Ioulia/J-6592-2017; Velonia, Kelly/V-9166-2018</t>
  </si>
  <si>
    <t>Smonou, Ioulia/0000-0002-5231-8737; Velonia, Kelly/0000-0003-3379-4508</t>
  </si>
  <si>
    <t>0014-2956</t>
  </si>
  <si>
    <t>EUR J BIOCHEM</t>
  </si>
  <si>
    <t>Eur. J. Biochem.</t>
  </si>
  <si>
    <t>10.1046/j.1432-1327.1998.2540356.x</t>
  </si>
  <si>
    <t>ZU077</t>
  </si>
  <si>
    <t>WOS:000074158900020</t>
  </si>
  <si>
    <t>Raymond, JA; DeVries, AL</t>
  </si>
  <si>
    <t>Elevated concentrations and synthetic pathways of trimethylamine oxide and urea in some teleost fishes of McMurdo Sound, Antarctica</t>
  </si>
  <si>
    <t>trimethylamine oxide; urea; teleost fishes; Antarctica; cold adaptation; TMAase; uricolysis; ornithine urea cycle</t>
  </si>
  <si>
    <t>AMINO-ACIDS; ELASMOBRANCHS; BUOYANCY; URINE</t>
  </si>
  <si>
    <t>Levels of trimethylamine oxide (TMAO) and urea in various tissues of several teleost fishes of McMurdo Sound, Antarctica were determined. TMAO levels in muscle tended to be high, with levels in several species exceeding 140 nM kg(-1) wet weight. The high levels appear to be necessary to osmotically balance high levels of sodium and chloride in the blood of these species. In two species (Dissostichus mawsoni and Gymnodraco acuticeps), significant levels of TMAO (&gt; 80 mM l(-1)) were also found in the blood, while virtually no TMAO was found in the blood of a related, temperate water species. In other Antarctic species, serum TMAO levels varied from moderate to low levels. Urea levels in several species were in the range 15-25 mM l(-1), which is higher than those in temperate water fishes. The high TMAO and urea levels make important contributions to the fishes' high osmolarities, and thus help to lower freezing points. These data are consistent with previous data obtained from some northern fishes. Fishes with high serum TMAO levels had liver TMAase activity whereas those with no serum TMAO did not. Activity levels of uricolytic enzymes in D. mawsoni and G. acuticeps were not noticeably different from those of temperate water fishes. These species showed moderate to high activities of three ornithine urea cycle enzymes (CPS, OCT and arginase) but low activity of the argininosuccinate synthetase/argininosuccinyl lyase system. These data suggest that a dietary arginine/arginase system is an important source of urea in these species.</t>
  </si>
  <si>
    <t>Univ Nevada, Dept Biol Sci, Las Vegas, NV 89154 USA; Univ Illinois, Dept Physiol &amp; Biophys, Urbana, IL 61801 USA</t>
  </si>
  <si>
    <t>Nevada System of Higher Education (NSHE); University of Nevada Las Vegas; University of Illinois System; University of Illinois Urbana-Champaign</t>
  </si>
  <si>
    <t>Raymond, JA (corresponding author), Univ Nevada, Dept Biol Sci, Las Vegas, NV 89154 USA.</t>
  </si>
  <si>
    <t>10.1023/A:1007778728627</t>
  </si>
  <si>
    <t>101AQ</t>
  </si>
  <si>
    <t>WOS:000074847800008</t>
  </si>
  <si>
    <t>Sunye, PS; Servain, J</t>
  </si>
  <si>
    <t>Effects of seasonal variations in meteorology and oceanography on the Brazilian sardine fishery</t>
  </si>
  <si>
    <t>fisheries oceanography; fishery; meteorological processes; oceanographic processes; Sardinella brasiliensis; South Brazil Bight</t>
  </si>
  <si>
    <t>CABO FRIO BRAZIL; PHYTOPLANKTON; SHELF; VARIABILITY; BIOMASS; COAST</t>
  </si>
  <si>
    <t>Seasonal variations in meteorological and oceanographic processes in the South Brazil Eight were studied to assess their influence on the Brazilian sardine Sardinella brasiliensis fishery. According to its environmental characteristics, the South Brazil Eight was divided into three sectors. The northern and southern sectors were similar during the spring and summer, showing areas of coastal upwelling and low rainfall rates. The middle sector was characterized by the presence of low-salinity coastal waters in the inner shelf and by high rainfall. During autumn and winter, the middle and southern sectors were similar, both being under the influence of sub-Antarctic waters. Multiple regression analyses showed significant correlation between environmental data and catches, although at a lower level in the northern sector (r(2) = 0.57). In the middle and southern sectors, environmental data were highly correlated with the catches (r(2) = 0.90 and 0.84). The sardine landings in the middle sector are principally affected by meteorological parameters, and in the south by oceanographic ones. In the middle sector, an inverse correlation between landings and rainfall is shown, while in the south, landings are positively correlated with salinity and sea temperature. The conclusion is that the seasonal landings of the Brazilian sardine within the South Brazil Eight are influenced by the distribution of less saline waters, the coastal waters and sub-Antarctic waters.</t>
  </si>
  <si>
    <t>Ctr ORSTOM Brest, F-29280 Plouzane, France</t>
  </si>
  <si>
    <t>Institut de Recherche pour le Developpement (IRD)</t>
  </si>
  <si>
    <t>Sunye, PS (corresponding author), Ctr ORSTOM Brest, BP 70, F-29280 Plouzane, France.</t>
  </si>
  <si>
    <t>psunye@ifremer.fr</t>
  </si>
  <si>
    <t>10.1046/j.1365-2419.1998.00055.x</t>
  </si>
  <si>
    <t>115ZA</t>
  </si>
  <si>
    <t>WOS:000075695200002</t>
  </si>
  <si>
    <t>Stephens, BB; Keeling, RF; Heimann, M; Six, KD; Murnane, R; Caldeira, K</t>
  </si>
  <si>
    <t>Testing global ocean carbon cycle models using measurements of atmospheric O2 and CO2 concentration</t>
  </si>
  <si>
    <t>GLOBAL BIOGEOCHEMICAL CYCLES</t>
  </si>
  <si>
    <t>GENERAL-CIRCULATION MODEL; NORTH-ATLANTIC; THERMOHALINE CIRCULATION; SIMULATIONS; TRANSPORT; DISTRIBUTIONS; DIOXIDE; OXYGEN; HEAT; RADIOCARBON</t>
  </si>
  <si>
    <t>We present a method for testing the performance of global ocean carbon cycle models using measurements of atmospheric O-2 and CO2 concentration. We combine these measurements to define a tracer, atmospheric potential oxygen (APO approximate to O-2 + CO2), which is conservative with respect to terrestrial photosynthesis and respiration. We then compare observations of APO to the simulations of an atmospheric transport model which uses ocean-model air-sea fluxes and fossil fuel combustion estimates as lower boundary conditions. We present observations of the annual-average concentrations of CO2, O-2, and APO at 10 stations in a north-south transect. The observations of APO show a significant interhemispheric gradient decreasing towards the north. We use air-sea CO2, O-2, and N-2 fluxes from the Princeton ocean biogeochemistry model, the Hamburg model of the ocean carbon cycle, and the Lawrence Livermore ocean biogeochemistry model to drive the TM2 atmospheric transport model. The latitudinal variations in annual-average APO predicted by the combined models are distinctly different from the observations. All three models significantly underestimate the interhemispheric difference in APO, suggesting that they underestimate the net southward transport of the sum of O-2 and CO2 in the oceans. Uncertainties in the model-observation comparisons include uncertainties associated with the atmospheric measurements, the atmospheric transport model, and the physical and biological components of the ocean models. Potential deficiencies in the physical components of the ocean models, which have previously been suggested as causes for anomalously large heat fluxes out of the Southern Ocean, may contribute to the discrepancies with the APO observations. These deficiencies include the inadequate parameterization of subgrid-scale isopycnal eddy mixing, a lack of subgrid-scale vertical convection, too much Antarctic sea-ice formation, and an overestimation of vertical diffusivities in the main thermocline.</t>
  </si>
  <si>
    <t>Univ Calif San Diego, Scripps Inst Oceanog, La Jolla, CA 92093 USA; Max Planck Inst Meteorol, D-20146 Hamburg, Germany; Lawrence Livermore Natl Lab, Livermore, CA 94550 USA; Bermuda Biol Stn Res Inc, Ferry Reach, St Georges, Bermuda</t>
  </si>
  <si>
    <t>University of California System; University of California San Diego; Scripps Institution of Oceanography; Max Planck Society; United States Department of Energy (DOE); Lawrence Livermore National Laboratory</t>
  </si>
  <si>
    <t>kenc@LLNL.gov; rkeeling@ucsd.edu; martin.heimann@dkrz.de; six@dlrz.de; rmurnane@bbsr.edu</t>
  </si>
  <si>
    <t>Caldeira, Ken/E-7914-2011; Stephens, Britton B/B-7962-2008; Heimann, Martin/H-7807-2016; Murnane, Richard/G-7039-2015</t>
  </si>
  <si>
    <t>Caldeira, Ken/0000-0002-4591-643X; Stephens, Britton B/0000-0002-1966-6182; Heimann, Martin/0000-0001-6296-5113; Murnane, Richard/0000-0002-9744-8471</t>
  </si>
  <si>
    <t>0886-6236</t>
  </si>
  <si>
    <t>1944-9224</t>
  </si>
  <si>
    <t>GLOBAL BIOGEOCHEM CY</t>
  </si>
  <si>
    <t>Glob. Biogeochem. Cycle</t>
  </si>
  <si>
    <t>10.1029/97GB03500</t>
  </si>
  <si>
    <t>Environmental Sciences; Geosciences, Multidisciplinary; Meteorology &amp; Atmospheric Sciences</t>
  </si>
  <si>
    <t>Environmental Sciences &amp; Ecology; Geology; Meteorology &amp; Atmospheric Sciences</t>
  </si>
  <si>
    <t>ZR755</t>
  </si>
  <si>
    <t>WOS:000074010500001</t>
  </si>
  <si>
    <t>Betsill, MM; Pielke, RA</t>
  </si>
  <si>
    <t>Blurring the boundaries - Domestic and international ozone politics and lessons for climate change</t>
  </si>
  <si>
    <t>INTERNATIONAL ENVIRONMENTAL AFFAIRS</t>
  </si>
  <si>
    <t>CHANGE RESEARCH-PROGRAM; EPISTEMIC COMMUNITIES; ANTARCTIC OZONE; POLICY; DEPLETION; INFORMATION; CHLORINE</t>
  </si>
  <si>
    <t>Univ Colorado, Dept Polit Sci, Boulder, CO 80309 USA; Natl Ctr Atmospher Res, Environm &amp; Societal Impacts Grp, Boulder, CO 80307 USA</t>
  </si>
  <si>
    <t>University of Colorado System; University of Colorado Boulder; National Center Atmospheric Research (NCAR) - USA</t>
  </si>
  <si>
    <t>Betsill, MM (corresponding author), Univ Colorado, Dept Polit Sci, Boulder, CO 80309 USA.</t>
  </si>
  <si>
    <t>Betsill, Michele/ABD-5548-2020; Betsill, Michele/GQY-4502-2022</t>
  </si>
  <si>
    <t>Betsill, Michele/0000-0001-7090-904X;</t>
  </si>
  <si>
    <t>UNIV PRESS NEW ENGLAND</t>
  </si>
  <si>
    <t>HANOVER</t>
  </si>
  <si>
    <t>23 S MAIN ST, HANOVER, NH 03755 USA</t>
  </si>
  <si>
    <t>1041-4665</t>
  </si>
  <si>
    <t>INT ENVIRON AFFAIR</t>
  </si>
  <si>
    <t>Int. Environ. Aff.</t>
  </si>
  <si>
    <t>SUM</t>
  </si>
  <si>
    <t>Science Citation Index Expanded (SCI-EXPANDED); Social Science Citation Index (SSCI)</t>
  </si>
  <si>
    <t>168FH</t>
  </si>
  <si>
    <t>WOS:000078680600001</t>
  </si>
  <si>
    <t>Barbraud, C; Jouventin, P</t>
  </si>
  <si>
    <t>What causes body size variation in the Snow Petrel Pagodroma nivea?</t>
  </si>
  <si>
    <t>JOURNAL OF AVIAN BIOLOGY</t>
  </si>
  <si>
    <t>SEXUAL DIMORPHISM; REPRODUCTIVE SUCCESS; GEOGRAPHIC-VARIATION; BREEDING BIOLOGY; DARWINS FINCHES; CARRION CROWS; HOODED CROWS; HYBRID ZONE; HYBRIDIZATION; SEABIRDS</t>
  </si>
  <si>
    <t>The Snow Petrel Pagodroma nivea is an Antarctic seabird that shows considerable geographic variation and sexual dimorphism in size, males being on average 10% larger than females. The origin and significance of body size variation in this species remain controversial. Two types P. n. major and P. n. minor are said to hybridize at a few localities (Jouventin and Viot 1985). Here, we examine body size variation, mating system, and possible hybridization between the two types of Snow Petrel using 470 individuals from two different breeding sites (Casey and Adelieland) where they are suspected to hybridize. We then use measurements of individuals from 12 different populations to test the hypothesis that sexual selection is the factor that has led to sexual dimorphism in that species. Al Casey two different populations breed sympatrically, whereas only one population showing great variation in body size was found at Adelieland. Mating was assortative by type but hybridization between P. n. major and P. n. minor occurred at both sites. Hybridization appears to be more recent at Casey than at Adelieland, and results from Casey indicate that hybrids mostly result from pairs consisting of male major and female minor. The considerable body size variation observed at Casey and Adelieland probably reflects hybridization of the two types. The amount of sexual dimorphism in size correlates with body size in the 12 Snow Petrel populations studied; sexual dimorphism was greater among populations of the larger type than among populations of the smaller type. These results support the sexual selection hypothesis and suggest that a variety of processes may contribute to the observed patterns of geographic variation in body size in the Snow Petrel. Other hypotheses that seek to explain the evolution of sexual dimorphism are considered and discussed for the Snow Petrel.</t>
  </si>
  <si>
    <t>CNRS, Ctr Etud Biol Chize, F-79360 Villiers En Bois, France</t>
  </si>
  <si>
    <t>Barbraud, C (corresponding author), CNRS, Ctr Etud Biol Chize, F-79360 Villiers En Bois, France.</t>
  </si>
  <si>
    <t>albatros@cebc.cnrs.fr</t>
  </si>
  <si>
    <t>Barbraud, Christophe/A-5870-2012</t>
  </si>
  <si>
    <t>Barbraud, Christophe/0000-0003-0146-212X</t>
  </si>
  <si>
    <t>0908-8857</t>
  </si>
  <si>
    <t>1600-048X</t>
  </si>
  <si>
    <t>J AVIAN BIOL</t>
  </si>
  <si>
    <t>J. Avian Biol.</t>
  </si>
  <si>
    <t>10.2307/3677194</t>
  </si>
  <si>
    <t>ZV434</t>
  </si>
  <si>
    <t>WOS:000074304200009</t>
  </si>
  <si>
    <t>Briegleb, BP; Bromwich, DH</t>
  </si>
  <si>
    <t>Polar radiation budgets of the NCAR CCM3</t>
  </si>
  <si>
    <t>MODERN ARCTIC CLIMATE; SOLAR-RADIATION; CLOUD; SURFACE; SIMULATION; FLUXES; SENSITIVITY; OCEAN; ERBE; TOA</t>
  </si>
  <si>
    <t>Present-day Arctic and Antarctic radiation budgets of the National Center for Atmospheric Research Community Climate Model version 3. (CCM3) are presented. The CCM3 simulation is from a prescribed and interannually varying sea surface temperature integration from January 1979 through August 1993. Earth Radiation Budget Experiment (ERBE) data from 1985 through 1989 are used for validation of top-of-atmosphere (TOA) absorbed shortwave radiation (ASR) and outgoing longwave radiation (OLR). Summer ASR in both polar regions is less than the observations by about 20 W m(-2). While the annual mean OLR in both polar regions is only 2-3 W m(-2) less than the ERBE data, the seasonal amplitude in OLR of 40 W m(-2) is smaller than the observed of 55-60 W m(-2). The annual polar TOA radiation balance is smaller than observations by 5-10 W m(-2). Compared to selected model and observational surface data, downward shortwave (SW) is too small by 50-70 W m(-2) and downward longwave (LW) too large by 10-30 W m(-2). Surface downward LW in clear atmospheres is too small by 10-20 W m(-2). The absence of sea-ice melt ponds results in 10-20 W m(-2) too much SW absorption during early summer and from 20 to 40 W m(-2) too little during late summer. Summer cloud covers are reasonably well simulated, but winter low cloud cover is too high by 0.5-0.7 compared to surface cloud observations. Comparison with limited satellite and in situ observations indicates cloud water path (CWP) is too high by about a factor of 2. While cloud particle sizes are approximately in the range of observed values, regional variation between maritime and continental droplet sizes is too strong over coastlines. Despite several improvements in CCM3 radiation physics, the accuracy of polar TOA annual radiation balance is degraded against the ERBE data compared to CCM2. Improvement in CCM3 polar radiation budgets will require improved simulation of CWP clear sky LW, and sea ice albedo.</t>
  </si>
  <si>
    <t>Natl Ctr Atmospher Res, CGD, Boulder, CO 80307 USA</t>
  </si>
  <si>
    <t>National Center Atmospheric Research (NCAR) - USA</t>
  </si>
  <si>
    <t>Briegleb, BP (corresponding author), Natl Ctr Atmospher Res, CGD, Pob 3000, Boulder, CO 80307 USA.</t>
  </si>
  <si>
    <t>Bromwich, David H/C-9225-2016</t>
  </si>
  <si>
    <t>10.1175/1520-0442(1998)011&lt;1246:PRBOTN&gt;2.0.CO;2</t>
  </si>
  <si>
    <t>ZQ401</t>
  </si>
  <si>
    <t>WOS:000073857500008</t>
  </si>
  <si>
    <t>Polar climate simulation of the NCAR CCM3</t>
  </si>
  <si>
    <t>LEVEL TEMPERATURE INVERSIONS; MODERN ARCTIC CLIMATE; SEA-ICE; THICKNESS DISTRIBUTION; OCEAN; SENSITIVITY; VARIABILITY; CYCLE</t>
  </si>
  <si>
    <t>Present-day Arctic and Antarctic climate of the National Center for Atmospheric Research (NCAR) Community Climate Model version 3 (CCM3) is presented. The CCM3 simulation is from a prescribed and interannually varying sea surface temperature integration from January 1979 through August 1993. Observations from a variety of sources, including the European Centre for Medium-Range Weather Forecasts analyses, rawinsonde, and surface station data, are used for validation of CCM3's polar climate during this period. Overall, CCM3 can simulate many important polar climatic features and in general is an incremental improvement over CCM2. The 500-hPa polar vortex minima are too deep by 50-100 m and too zonally symmetric. The Arctic sea level pressure maximum is displaced poleward, while the Icelandic region minimum is extended toward Europe, and the Aleutian region minimum is extended toward Asia. The Antarctic circumpolar trough of low sea level pressure is slightly north of the observed position and is 2-3 hPa too low. Antarctic katabatic winds are similar to observations in magnitude and regional variation. The Antarctic surface wind stress is estimated to be 30%-50% too strong in some regions. Polar tropospheric temperatures are 2 degrees-4 degrees C: colder than observations, mostly in the summer season. Low-level winter inversions over the Arctic Ocean are only 3 degrees-4 degrees C, rather than the observed 10 degrees C. In the Antarctic midcontinent they are around 25 degrees-30 degrees C (about 5 degrees stronger than observed) and continue to be stronger than observed along the coast. Although water vapor column is uniformly low by 10%-20% compared to analyses in both polar regions, the regional patterns of minima over Greenland and the East Antarctic plateau are well represented. Annual 70 degrees to pole CCM3 values are 5.8 kg m(-2) for the Arctic and 1.7 kg m(-2) for the Antarctic. The regional distribution of precipitation minus evaporation compares reasonably with analyses. The annual 70 degrees to pole values are 18.1 cm yr(-1), which are close to the most recent observational estimates of 16 to 18 cm yr(-1) in the Arctic and 18.4 +/- 3.7 cm yr(-1) in the Antarctic. In both polar regions, summer surface energy budgets are estimated to be low by roughly 20 W m(-1). Suggestions as to causes of simulation deficiencies Bye 1) polar heat sinks that are too strong; 2) inadequate representation of sea-ice-atmosphere hear exchange, due to lack of fractional coverage of sea ice of variable thickness 3) effects of low horizontal resolution; and 4) biased extrapolar influence.</t>
  </si>
  <si>
    <t>Natl Ctr Atmospher Res, CGD, Boulder, CO 80307 USA; Ohio State Univ, Byrd Polar Res Ctr, Polar Meteorol Grp, Columbus, OH 43210 USA</t>
  </si>
  <si>
    <t>National Center Atmospheric Research (NCAR) - USA; University System of Ohio; Ohio State University</t>
  </si>
  <si>
    <t>10.1175/1520-0442(1998)011&lt;1270:PCSOTN&gt;2.0.CO;2</t>
  </si>
  <si>
    <t>WOS:000073857500009</t>
  </si>
  <si>
    <t>Raphael, MN</t>
  </si>
  <si>
    <t>Quasi-stationary waves in the Southern Hemisphere: An examination of their simulation by the NCAR Climate System Model, with and without an interactive ocean</t>
  </si>
  <si>
    <t>HARMONIC STANDING WAVES; ANTARCTIC WINTER; SEA-ICE; CIRCULATION; 500-MB</t>
  </si>
  <si>
    <t>The three primary quasi-stationary waves in the geopotential height field of the Southern Hemisphere, as simulated by the National Center for Atmospheric Research (NCAR) Climate System Model (CSM1) and the Community Climate Model, version 3 (CCM3), are examined and compared with the NCAR National Centers for Environmental Prediction reanalyses. Fourier analysis is used to decompose the geopotential heights into its zonal harmonic components. Both models are able to simulate the mean and zonal asymmetry of the geopotential heights; however, the CSM1 simulates the interannual variability considerably better than the CCM3. The amplitude and phase of wave 1 are well simulated by the models, particularly in the subantarctic region. The models are also able to reproduce the interannual variation in phase and amplitude of wave 1. The success of the simulation is attributed to the models' ability to simulate well the important features of the geopotential height and temperature distributions. The models vary in their ability to simulate waves 2 and 3. Reasons for these variations are discussed.</t>
  </si>
  <si>
    <t>Univ Calif Los Angeles, Dept Geog, Los Angeles, CA 90095 USA</t>
  </si>
  <si>
    <t>University of California System; University of California Los Angeles</t>
  </si>
  <si>
    <t>Raphael, MN (corresponding author), Univ Calif Los Angeles, Dept Geog, Los Angeles, CA 90095 USA.</t>
  </si>
  <si>
    <t>raphael@geog.ucla.edu</t>
  </si>
  <si>
    <t>10.1175/1520-0442(1998)011&lt;1405:QSWITS&gt;2.0.CO;2</t>
  </si>
  <si>
    <t>WOS:000073857500016</t>
  </si>
  <si>
    <t>Doney, SC; Large, WG; Bryan, FO</t>
  </si>
  <si>
    <t>Surface ocean fluxes and water-mass transformation rates in the coupled NCAR Climate System Model</t>
  </si>
  <si>
    <t>GENERAL-CIRCULATION MODEL; NORTH-ATLANTIC OCEAN; SEA-ICE; ATMOSPHERE; HEAT; PRECIPITATION; CLIMATOLOGIES; ABSORPTION; CLOUDS; DRIFT</t>
  </si>
  <si>
    <t>The global distributions of the air-sea fluxes of beat and freshwater and water mass transformation rates from a control integration of the coupled National Center for Atmospheric Research (NCAR) Climate System Model (CSM) are compared with similar fields from an uncoupled ocean model equilibrium spin-up and a new surface climatology. The climatology and uncoupled model use the same bulk-flux forcing scheme and are forced with National Centers for Environmental Predicition (formerly the National Meteorological Center) atmospheric reanalysis data and satellite-based cloud cover, solar flux, and precipitation estimates. The climatological fluxes for the open ocean are adjusted to give a global net balance and are in broad general agreement with standard ship-based estimates. An exception is the ice-free Southern Ocean, where the net heat and evaporative fluxes appear to be too weak but where the observational coverage underlying the reanalysis is quite poor. Major differences are observed between the climatology and the NCAR CSM coupled solution, namely, enhanced tropical and subtropic solar insolation, stronger energy and hydrologic cycles, and excessive high-latitude ice formation/melt producing a several-fold increase in Arctic and Antarctic deep water formation through brine rejection. The anomalous fluxes and corresponding water-mass transformations are closely tied to the coupled ocean model drift, characterized by a reorganization of the vertical salinity distribution. Some error features in the heat flux and sea surface temperature fields are common to both the coupled and uncoupled solutions, primarily in the western boundary currents and the Antarctic circumpolar current, and are thus likely due to the poor representation of the circulation field in the coarse-resolution NCAR ocean model. Other problems particular to the uncoupled spin-up are related to the bulk-flux forcing scheme, an example being excess freshwater deposition in the western boundary currents arising from the inclusion of a weak open ocean surface salinity restoring term. The effective thermal restoring coefficent, which relates the change in nonsolar surface heat flux to sea surface temperature changes, is on average 14.6 W m(-2) K-1 for the coupled solution or about a third of the range from the bulk flux forcing scheme, 40-60 W m(-2) K-1.</t>
  </si>
  <si>
    <t>Doney, SC (corresponding author), Natl Ctr Atmospher Res, CGD, Pob 3000, Boulder, CO 80307 USA.</t>
  </si>
  <si>
    <t>Doney, Scott/F-9247-2010; Bryan, Frank/I-1309-2016</t>
  </si>
  <si>
    <t>Doney, Scott/0000-0002-3683-2437; Bryan, Frank/0000-0003-1672-8330</t>
  </si>
  <si>
    <t>10.1175/1520-0442(1998)011&lt;1420:SOFAWM&gt;2.0.CO;2</t>
  </si>
  <si>
    <t>WOS:000073857500017</t>
  </si>
  <si>
    <t>Bryan, FO</t>
  </si>
  <si>
    <t>Climate drift in a multicentury integration of the NCAR Climate System Model</t>
  </si>
  <si>
    <t>CIRCULATION MODEL; SEA-ICE; OCEAN</t>
  </si>
  <si>
    <t>The National Center for Atmospheric Research's Climate System Model is a comprehensive model of the physical climate system. A 300-yr integration of the model has been carried out without flux correction. The solution shows very little drift in the surface temperature distribution, set-ice extent, or atmospheric circulation. The lack of drift in the surface climate is attributed to relatively good agreement in the estimates of meridional heat transport in the uncoupled ocean model and that implied by the uncoupled atmospheric model. On the other hand, there is significant drift in the temperature and salinity distributions of the deep ocean. The ocean loses heat at an area-averaged rate of 0.35 W m(-2), the upper ocean becomes fresher, and the deep ocean becomes colder and saltier than in the uncoupled ocean model equilibrium or in observations. The cause of this drift is an unreasonably large meridional transport of freshwater in the sea ice model, resulting in the production of excessively cold and salty Antarctic Bottom Water. There is also significant drift in the Arctic basin, with the complete erosion of the surface halocline early in the coupled integration.</t>
  </si>
  <si>
    <t>Natl Ctr Atmospher Res, Climate &amp; Global Dynam Div, Boulder, CO 80307 USA</t>
  </si>
  <si>
    <t>Bryan, FO (corresponding author), Natl Ctr Atmospher Res, Climate &amp; Global Dynam Div, Pob 3000, Boulder, CO 80307 USA.</t>
  </si>
  <si>
    <t>Bryan, Frank/I-1309-2016</t>
  </si>
  <si>
    <t>Bryan, Frank/0000-0003-1672-8330</t>
  </si>
  <si>
    <t>10.1175/1520-0442(1998)011&lt;1455:CDIAMI&gt;2.0.CO;2</t>
  </si>
  <si>
    <t>WOS:000073857500019</t>
  </si>
  <si>
    <t>Weatherly, JW; Briegleb, BP; Large, WG; Maslanik, JA</t>
  </si>
  <si>
    <t>Sea ice and polar climate in the NCAR CSM</t>
  </si>
  <si>
    <t>SURFACE AIR-TEMPERATURE; ATMOSPHERIC CO2; MODEL; OCEAN; VARIABILITY; CIRCULATION; SENSITIVITY; THICKNESS</t>
  </si>
  <si>
    <t>The Climate System Model (CSM) consists of atmosphere, ocean, land, and sea-ice components linked by a flux coupler, which computes fluxes of energy and momentum between components. The sea-ice component consists of a thermodynamic formulation for ice, snow, and leads within the ice pack, and ice dynamics using the cavitating-fluid ice rheology, which allows for the compressive strength of ice but ignores sheer viscosity. The results of a 300-yr climate simulation are presented, with the focus on sea ice and the atmospheric forcing over sea ice in the polar regions. The atmospheric model results are compared to analyses from the European Centre for Medium-Range Weather Forecasts and other observational sources. The sea-ice concentrations and velocities are compared to satellite observational data. The atmospheric sea level pressure (SLP) in CSM exhibits a high in the central Arctic displaced poleward from the observed Beaufort high. The Southern Hemisphere SLP over sea ice is generally 5 mb lower than observed. Air temperatures over sea ice in both hemispheres exhibit cold biases of 2-4 K. The precipitation-minus-evaporation fields in both hemispheres are greatly improved over those from earlier versions of the atmospheric GCM. The simulated ice-covered area is close to observations in the Southern Hemisphere but too large in the Northern Hemisphere. The ice concentration fields show that the ice cover is too extensive in the North Pacific and subarctic North Atlantic Oceans. The interannual variability of the ice area is similar to observations in both hemispheres. The ice thickness pattern in the Antarctic is realistic bur generally too thin away from the continent. The maximum thickness in the Arctic occurs against the Bering Strait, not against the Canadian Archipelago as observed. The ice velocities are stronger than observed in both hemispheres, with a consistently greater turning angle (to the left) in the Southern Hemisphere. They produce a northward ice transport in the Southern Hemisphere that is 3-4 times the satellite-derived value sensitivity tests with the sea-ice component show that both the pattern of wind forcing in CSM and the air-ice drag parameter used contribute to the biases in thickness, drift speeds, and transport. Plans for further development of the ice model to incorporate a viscous-plastic ice rheology are presented. In spite of the biases of the sea-ice simulation, the 300-yr climate simulation exhibits only a small degree of drift in the surface climate without the use of flux adjustment. This suggests a robust stability in the simulated climate in the presence of significant variability.</t>
  </si>
  <si>
    <t>Natl Ctr Atmospher Res, Climate &amp; Global Dynam Div, Boulder, CO 80307 USA; Univ Colorado, Cooperat Inst Res Environm Sci, Boulder, CO 80309 USA</t>
  </si>
  <si>
    <t>National Center Atmospheric Research (NCAR) - USA; University of Colorado System; University of Colorado Boulder</t>
  </si>
  <si>
    <t>Weatherly, JW (corresponding author), Natl Ctr Atmospher Res, Climate &amp; Global Dynam Div, Pob 3000, Boulder, CO 80307 USA.</t>
  </si>
  <si>
    <t>weather@ncar.ucar.edu</t>
  </si>
  <si>
    <t>10.1175/1520-0442(1998)011&lt;1472:SIAPCI&gt;2.0.CO;2</t>
  </si>
  <si>
    <t>WOS:000073857500020</t>
  </si>
  <si>
    <t>Liritzis, I; Grigori, E</t>
  </si>
  <si>
    <t>Astronomical forcing in cosmogenic Be-10 variation from east Antarctica coast?</t>
  </si>
  <si>
    <t>JOURNAL OF COASTAL RESEARCH</t>
  </si>
  <si>
    <t>Beryllium-10; palaeoclimates; oxygen-18; Milankovich; periodicities</t>
  </si>
  <si>
    <t>ICE; CLIMATE; RECORD; CYCLE</t>
  </si>
  <si>
    <t>Cosmogenic Be-10 concentrations in Antarctic ice (Vostok site), during the past 150 ka (1 ka = 1000 years) have been spectrally analyzed. The current interest in beryllium refers on its use as a dating tool in lake, offshore/marine, and ice-core environments, and for palaeoclimate variation and reconstruction. The methods of fast fourier transform, maximum entropy, and power spectrum employing the Blackman-Tukey window, as well as significance tests (chi(2), Kolmogorov-Smirnov, analysis per subset, randomness test etc.) were applied. Significant and strongly stationary periodicities centered around 100 ka (large uncertainty, near the record length), 40 ka, 25 ka, 19 ka, 12 ka and 5 ka were found, superimposed upon each other forming a network of periodic cycles. Similar periodicities were previously reported for delta(18)O variation from V28-239 pacific ocean deep-sea core and other direct or proxy palaeoclimatic data. They are recognized with the well known astronomical frequencies; the long-term variations in the geometry of the earth's orbit and rotation as the fundamental causes of Pleistocene ice-ages of the past 3 Ma. This astronomical forcing (referred to as the Milankovich theory) is for first time observed in Be-10 variation, and interesting observations can be made regarding the contiguity between Be-10 production-deposition rates, palaeoclimate, solar activity, earth's orbit and rotation, sea-level changes and geomagnetic field.</t>
  </si>
  <si>
    <t>Acad Athens, Astron &amp; Appl Math Res Ctr, GR-10673 Athens, Greece</t>
  </si>
  <si>
    <t>Academy of Athens</t>
  </si>
  <si>
    <t>Liritzis, I (corresponding author), Acad Athens, Astron &amp; Appl Math Res Ctr, 14 Anagnostopoulou St, GR-10673 Athens, Greece.</t>
  </si>
  <si>
    <t>COASTAL EDUCATION &amp; RESEARCH FOUNDATION</t>
  </si>
  <si>
    <t>810 EAST 10TH STREET, LAWRENCE, KS 66044 USA</t>
  </si>
  <si>
    <t>0749-0208</t>
  </si>
  <si>
    <t>1551-5036</t>
  </si>
  <si>
    <t>J COASTAL RES</t>
  </si>
  <si>
    <t>J. Coast. Res.</t>
  </si>
  <si>
    <t>111DB</t>
  </si>
  <si>
    <t>WOS:000075421100031</t>
  </si>
  <si>
    <t>Lu, G; Baker, DN; McPherron, RL; Farrugia, CJ; Lummerzheim, D; Ruohoniemi, JM; Rich, FJ; Evans, DS; Lepping, RP; Brittnacher, M; Li, X; Greenwald, R; Sofko, G; Villain, J; Lester, M; Thayer, J; Moretto, T; Milling, D; Troshichev, O; Zaitzev, A; Odintzov, V; Makarov, G; Hayashi, K</t>
  </si>
  <si>
    <t>Global energy deposition during the January 1997 magnetic cloud event</t>
  </si>
  <si>
    <t>AURORAL ELECTROJET INDEXES; SOLAR-WIND; IONOSPHERIC ELECTRODYNAMICS; GEOMAGNETIC STORM; FIELD; MAGNETOSPHERE; THERMOSPHERE; PARAMETERS; AE</t>
  </si>
  <si>
    <t>The passage of an interplanetary magnetic cloud at Earth on January 10-11, 1997, induced significant geomagnetic disturbances, with a maximum AE in excess of 2000 nT and a minimum Dst of about -85 nT. We use a comprehensive set of data collected from space-borne instruments and from ground-based facilities to estimate the energy deposition associated with the three major magnetospheric sinks during the event. It is found that averaged over the 2-day period, the total magnetospheric energy deposition rate is about 400 GW, with 190 GW going into Joule heating rate, 120 GW into ring current injection, and 90 GW into auroral precipitation. By comparison, the average solar wind electromagnetic energy transfer rate as represented by the ε parameter is estimated to be 460 GW, and the average available solar wind kinetic power USW is about 11,000 GW. A good linear correlation is found between the AE index and various ionospheric parameters such as the cross-polar-cap potential drop, hemisphere-integrated Joule heating rate, and hemisphere-integrated auroral precipitation. In the northern hemisphere where the data coverage is extensive, the proportionality factor is 0.06 kV/nT between the potential drop and AE, 0.25 GW/nT between Joule heating rate and AE, and 0.13 GW/nT between auroral precipitation and AE. However, different studies have resulted in different proportionality factors. One should therefore be cautious when using empirical formulas to estimate the ionospheric energy deposition. There is an evident saturation of the cross-polar-cap potential drop for large AE(&gt;1000 nT), but further studies are needed to confirm this.</t>
  </si>
  <si>
    <t>Natl Ctr Atmospher Res, High Altitude Observ, Boulder, CO 80307 USA; Univ Colorado, Atmospher &amp; Space Phys Lab, Boulder, CO 80309 USA; Univ Calif Los Angeles, Inst Geophys &amp; Planetary Phys, Los Angeles, CA 90024 USA; Univ New Hampshire, Ctr Space Sci, Durham, NH 03824 USA; Univ Alaska, Inst Geophys, Fairbanks, AK 99775 USA; Johns Hopkins Univ, Appl Phys Lab, Baltimore, MD 20742 USA; Phillips Lab, Hanscom AFB, MA 01731 USA; NOAA, Space Environm Ctr, Space Environm Lab, Boulder, CO 80303 USA; NASA, Goddard Space Flight Ctr, Greenbelt, MD 20771 USA; Univ Washington, Dept Geophys, Seattle, WA 98122 USA; Univ Saskatchewan, Dept Phys &amp; Engn Phys, Saskatoon, SK S7N 5E2, Canada; CNRS, Lab Phys &amp; Chim Environm, F-45071 Orleans, France; Univ Leicester, Dept Phys, Leicester LE1 7RH, Leics, England; SRI Int, Menlo Park, CA 94025 USA; Danish Meteorol Inst, Copenhagen, Denmark; York Univ, Dept Phys, York Y01 5DD, N Yorkshire, England; Arctic &amp; Antarctic Res Inst, Dept Geophys, St Petersburg 199226, Russia; IZMIRAN, Troitsk 142092, Moscow Region, Russia; Inst Cosmophys Res &amp; Aeron, Yakutsk, Russia; Univ Tokyo, Dept Earth &amp; Planetary Phys, Tokyo 113, Japan</t>
  </si>
  <si>
    <t>National Center Atmospheric Research (NCAR) - USA; University of Colorado System; University of Colorado Boulder; University of California System; University of California Los Angeles; University System Of New Hampshire; University of New Hampshire; University of Alaska System; University of Alaska Fairbanks; Johns Hopkins University; Johns Hopkins University Applied Physics Laboratory; National Oceanic Atmospheric Admin (NOAA) - USA; National Aeronautics &amp; Space Administration (NASA); NASA Goddard Space Flight Center; University of Washington; University of Washington Seattle; University of Saskatchewan; Centre National de la Recherche Scientifique (CNRS); University of Leicester; SRI International; Danish Meteorological Institute DMI; University of York - UK; Arctic &amp; Antarctic Research Institute; Russian Academy of Sciences; Pushkov Institute of Terrestrial Magnetism, Ionosphere &amp; Radio Wave Propagation; Russian Academy of Sciences; Shafer Institute of Cosmophysical Research &amp; Aeronomy, Siberian Branch of the Russian Academy of Sciences; University of Tokyo</t>
  </si>
  <si>
    <t>Lu, G (corresponding author), Natl Ctr Atmospher Res, High Altitude Observ, POB 3000, Boulder, CO 80307 USA.</t>
  </si>
  <si>
    <t>Lu, Gang/A-6669-2011; Makarov, Georgy A./IZD-9972-2023; Makarov, Georgy A./I-3528-2018; Moretto, Therese/B-6846-2013</t>
  </si>
  <si>
    <t>Makarov, Georgy A./0000-0003-1076-7785; McPherron, Robert/0000-0002-5398-2808; Moretto, Therese/0000-0002-2403-5561</t>
  </si>
  <si>
    <t>A6</t>
  </si>
  <si>
    <t>10.1029/98JA00897</t>
  </si>
  <si>
    <t>ZQ564</t>
  </si>
  <si>
    <t>WOS:000073880700011</t>
  </si>
  <si>
    <t>Atkinson, A</t>
  </si>
  <si>
    <t>Life cycle strategies of epipelagic copepods in the Southern Ocean</t>
  </si>
  <si>
    <t>6th International Conference on Copepoda</t>
  </si>
  <si>
    <t>JUL 29-AUG 03, 1996</t>
  </si>
  <si>
    <t>OLDENBURG, GERMANY</t>
  </si>
  <si>
    <t>Copepoda; Southern Ocean; life cycles; Calanoides acutus; Antarctica; Oithona similis</t>
  </si>
  <si>
    <t>MARGINAL ICE-ZONE; EASTERN WEDDELL-SEA; CALANUS-PROPINQUUS COPEPODA; MARINE PLANKTONIC COPEPODS; DIEL VERTICAL MIGRATION; CALANOIDES-ACUTUS; RHINCALANUS-GIGAS; ANTARCTIC COPEPODS; EGG-PRODUCTION; SCOTIA SEA</t>
  </si>
  <si>
    <t>Twelve epipelagic copepod species were reviewed to compare their adaptations to the short primary production season and low temperatures which characterise the Southern Ocean. The species show a spectrum of adaptations, but three broad life cycle strategies were defined: (1) herbivorous in summer, a short reproductive period and winter diapause at depth (Calanoides acutus and possibly Ctenocalanus citer); (2) predominantly omnivorous/detritivorous diet, an extended period of feeding, growth and reproduction and less reliance on diapause at depth (Metridia gerlachei, Calanus propinquus, Calanus simillimus, Oithona similis, Microcalanus pygmaeus, and possibly Oncaea curvata and Oithona frigida); (3) overwintering and feeding within sea ice as early nauplii or copepodids (Stephos longipes and Paralabidocera antarctica). The large species Rhincalanus gigas appears to be intermediate between strategies (1) and (2). Contrasting species from groups (1) and (2), namely C. acutus and O. similis, were selected for more detailed comparison. For C. acutus, maximum (probably food saturated) feeding and egg production rates are well below equivalent values for Calanus spp. at lower latitudes. Likewise, summer growth and moulting rates are slower, and the growth season of this herbivore is only 2-4 months. Therefore, both the low summer temperatures and short primary production season seem to dictate a long (similar to 1 year) life cycle for C. acutus. A collation of data on O. similis revealed that its abundance increases about tenfold from the Antarctic shelf northwards to the Polar Frontal Zone, where abundances are similar to those in temperate and tropical shelf seas. In contrast to C. acutus, O. similis appears to remain in the epipelagic and reproduce there year-round, although the food sources which sustain this are still uncertain. (C) 1998 Elsevier Science B.V. All rights reserved.</t>
  </si>
  <si>
    <t>10.1016/S0924-7963(97)00081-X</t>
  </si>
  <si>
    <t>101NY</t>
  </si>
  <si>
    <t>WOS:000074876100035</t>
  </si>
  <si>
    <t>Ohtsuka, S; Takeuchi, I; Tanimura, A</t>
  </si>
  <si>
    <t>Xanthocalanus gracilis and Tharybis magna (Copepoda: Calanoida) rediscovered from the Antarctic Ocean with baited traps</t>
  </si>
  <si>
    <t>JOURNAL OF NATURAL HISTORY</t>
  </si>
  <si>
    <t>calanoid copepods; Xanthocalanus gracilis; Tharybis magna; Antarctic Ocean; detritivore; baited trap</t>
  </si>
  <si>
    <t>GIANT LARVACEAN HOUSES; MONTEREY BAY; FAMILY; GENUS; ICE; CALIFORNIA; CRUSTACEA; PACIFIC; FOOD</t>
  </si>
  <si>
    <t>Two species of calanoid copepods, Xanthocalanus gracilis Wolfenden, 1911 (Phaennidae) and Tharybis magna Bradford, 1983 (Tharybidae) collected with baited traps from the Antarctic Ocean are redescribed including some scanning electron microscopic observations. The morphological features and ecological data of these species which both bear maxillary sensory setae strongly suggest that they are detritivores and/or scavengers.</t>
  </si>
  <si>
    <t>Hiroshima Univ, Fisheries Lab, Takehara 725, Japan; Univ Tokyo, Ocean Res Inst, Otsuchi Marine Res Ctr, Otsuchi, Iwate 02811, Japan; Mie Univ, Fac Bioresources, Tsu, Mie 514, Japan</t>
  </si>
  <si>
    <t>Hiroshima University; University of Tokyo; Mie University</t>
  </si>
  <si>
    <t>Ohtsuka, S (corresponding author), Hiroshima Univ, Fisheries Lab, 5-8-1 Minato Machi, Takehara 725, Japan.</t>
  </si>
  <si>
    <t>0022-2933</t>
  </si>
  <si>
    <t>J NAT HIST</t>
  </si>
  <si>
    <t>J. Nat. Hist.</t>
  </si>
  <si>
    <t>10.1080/00222939800770421</t>
  </si>
  <si>
    <t>Biodiversity Conservation; Ecology; Zoology</t>
  </si>
  <si>
    <t>Biodiversity &amp; Conservation; Environmental Sciences &amp; Ecology; Zoology</t>
  </si>
  <si>
    <t>ZQ862</t>
  </si>
  <si>
    <t>WOS:000073910500001</t>
  </si>
  <si>
    <t>Stary, J; Block, W</t>
  </si>
  <si>
    <t>Distribution and biogeography of oribatid mites (Acari: Oribatida) in Antarctica, the sub-Antarctic islands and nearby land areas</t>
  </si>
  <si>
    <t>mites; Oribatida; Antarctica; biogeography; distribution; Gondwana</t>
  </si>
  <si>
    <t>LITTORAL MITES; SOUTH-ATLANTIC; ECOLOGY; GEORGIA</t>
  </si>
  <si>
    <t>Oribatid mites are an ancient group of cosmopolitan terrestrial arthropods with limited trans-oceanic dispersal abilities. They provide an opportunity to answer questions concerning the role played by Gondwanaland, either as a migration route for terrestrial organisms or as a centre for their origin and subsequent glacial destruction, in the development of the biota of Antarctica, the sub-Antarctic islands and nearby land areas. Biogeographical studies of present-day oribatid mite faunas of the Antarctic region, New Zealand and South America (particularly the Andes Mountains) also allow insight into the historical development of such biota after the break-up of Gondwanaland. No records of fossil oribatid mites are known for the Antarctic and their main dispersal mechanisms within the biome are likely to be via sea-birds and possibly ocean currents. A total of 105 species from 20 families of oribatid mites are recorded from the Antarctic which, together with species records from South America, including Patagonia and Tierra del Fuego, and New Zealand, allowed faunal similarities to be examined using the similarity coefficient of Jaccard and principal co-ordinate analysis. Species endemism is high in both the continental (60%) and the sub-Antarctic zones (63%) compared with the maritime Antarctic zone (18%) and the Falkland Islands (19%), but lower than in the New Zealand fauna (83%) and in the Neotropical areas of South America (89%). Species diversity of oribatid mites in the Antarctic is low (five species in the continental Antarctic zone, 22 species recorded for the maritime Antarctic zone, and 78 species found in the sub-Antarctic zone) compared with New Zealand (330 species) and the Neotropical South American region (1193 species). The numerically-dominant species are from the families Oppiidae and Ameronothridae in the Antarctic region, but only a single endemic family (Maudheimiidae) occurs there. Several conclusions are drawn regarding the relationships of the oribatid mite faunas within Antarctica and between them and those of the surrounding land areas. The high similarity of the present faunas of the Andes Mountains and New Zealand at both generic and family levels suggests a genetic continuity of these areas in the past, but reduced species similarity indicates that the majority of the present oribatid mite species arose after the break-up of Gondwanaland (17 oribatid mite species found in both areas at present, have not been recorded elsewhere). Two possibilities regarding the possible land connection between these two geographical areas are (i) via what are now the sub-Antarctic islands, and (ii) via what is now the continental Antarctic. The latter is more probable in view of the disharmonic nature of the present sub-Antarctic island oribatid mite faunas. The present distribution of the most common family of oribatid mites, the Ameronothridae, in the Antarctic suggests that it is not a faunal relict but results from post-glacial recolonisation possibly from Australasia, where there are many species and high generic diversity. The sub-Antarctic islands have a distinctly richer oribatid mite fauna than the continent, probably influenced by a longer period of habitat development uninterrupted by volcanic activity. Their re-colonisation by physiologically pre-adapted, cold-hardy taxa is likely to have occurred from South America and Australia, a long-term and often accidental process. Studies are required to determine the possible mechanisms which underlie this process.</t>
  </si>
  <si>
    <t>Acad Sci Czech Republ, Inst Soil Biol, CR-37005 Ceske Budejovice, Czech Republic; British Antarctic Survey, NERC, Cambridge CB3 0ET, England</t>
  </si>
  <si>
    <t>Czech Academy of Sciences; Biology Centre of the Czech Academy of Sciences; UK Research &amp; Innovation (UKRI); Natural Environment Research Council (NERC); NERC British Antarctic Survey</t>
  </si>
  <si>
    <t>Stary, J (corresponding author), Acad Sci Czech Republ, Inst Soil Biol, Na Sadkach 7, CR-37005 Ceske Budejovice, Czech Republic.</t>
  </si>
  <si>
    <t>Starý, Josef/G-2721-2014</t>
  </si>
  <si>
    <t>10.1080/00222939800770451</t>
  </si>
  <si>
    <t>WOS:000073910500004</t>
  </si>
  <si>
    <t>Stefels, J; van Leeuwe, MA</t>
  </si>
  <si>
    <t>Effects of iron and light stress on the biochemical composition of Antarctic Phaeocystis sp. (Prymnesiophyceae). I. Intracellular DMSP concentrations</t>
  </si>
  <si>
    <t>Antarctic Phaeocystis; iron; light; biochemical composition; dimethylsulfoniopropionate; DMSP</t>
  </si>
  <si>
    <t>TETRASELMIS-SUBCORDIFORMIS STEIN; PHOTOSYNTHETIC ENERGY-CONVERSION; EQUATORIAL PACIFIC-OCEAN; MARINE EUKARYOTIC ALGAE; PHYTOPLANKTON PHOTOSYNTHESIS; CELL-VOLUME; BETA-DIMETHYLSULPHONIOPROPIONATE; CARBOHYDRATE SOLUTES; QUATERNARY AMMONIUM; NITROGEN LIMITATION</t>
  </si>
  <si>
    <t>Iron is essential for phytoplankton growth, as it is involved in many metabolic processes. It controls photosynthesis as well as many enzymatic processes. As such, iron affects the cell's energy supply and contributes to the assimilation of carbon and nitrogen. To determine whether iron limitation would result in energy stress or induced nitrogen deficiency, an Antarctic Phaeocystis sp. (Prymnesiophyceae) strain was studied for its biochemical composition, with the main emphasis on intracellular production of dimethylsulfoniopropionate (DMSP). DMSP is suggested to replace nitrogen containing solutes under conditions of nitrogen deficiency. Batch cultures of Antarctic Phaeocystis sp. were grown under iron-rich and iron-poor conditions and simultaneously subjected to high and low light intensities. Iron depletion induced chlorosis and suppressed growth rates as well as the maximum yield of the cultures; these effects were reinforced by low light intensities. Cell volumes were strongly reduced under iron-limited conditions. However, this reduction in cell volume was accompanied by a reduced DMSP content entry in cultures experiencing low light intensities. Under high light conditions, no reduction of DMSP was observed; hence, intracellular DMSP concentrations increased. These observations are discussed relative to carbon and nitrogen metabolism and the biosynthetic pathway of DMSP. It is argued that under high light, low iron conditions, the cells were bordering on nitrogen deficiency induced by iron limitation, whereas under low light, low iron conditions, the cells were energy limited resulting in overall suppressed metabolic rates. Between treatments, DMSP to chlorophyll-a ratios varied by a factor of 5, demonstrating the dependence of this parameter on the physiological state of the cell.</t>
  </si>
  <si>
    <t>Univ Groningen, Dept Marine Biol, NL-9750 AA Haren, Netherlands; Netherlands Inst Sea Res, NL-1790 AB Den Burg, Netherlands</t>
  </si>
  <si>
    <t>University of Groningen; Utrecht University; Royal Netherlands Institute for Sea Research (NIOZ)</t>
  </si>
  <si>
    <t>Stefels, J (corresponding author), Univ Groningen, Dept Marine Biol, POB 14, NL-9750 AA Haren, Netherlands.</t>
  </si>
  <si>
    <t>10.1046/j.1529-8817.1998.340486.x</t>
  </si>
  <si>
    <t>ZZ445</t>
  </si>
  <si>
    <t>WOS:000074730100010</t>
  </si>
  <si>
    <t>van Leeuwe, MA; Stefels, J</t>
  </si>
  <si>
    <t>Effects of iron and light stress on the biochemical composition of Antarctic Phaeocystis sp. (Prymnesiophyceae). II. Pigment composition</t>
  </si>
  <si>
    <t>Antarctic Phaeocystis; fucoxanthin; iron; light; 19 '-hexanoyloxyfucoxanthin; pigments</t>
  </si>
  <si>
    <t>EQUATORIAL PACIFIC-OCEAN; ALGAL CAROTENOIDS; SOUTHERN-OCEAN; MARINE DIATOM; PHYTOPLANKTON PHOTOSYNTHESIS; XANTHOPHYLL-CYCLE; ENERGY-CONVERSION; 2 STRAINS; LIMITATION; FUCOXANTHIN</t>
  </si>
  <si>
    <t>A strain of Phaeocystis sp., isolated in the Southern Ocean, was cultured under iron- and light-limited conditions. The cellular content of chlorophyll a and accessory light-harvesting (LH) pigments increased under low light intensities. Iron limitation resulted in a decrease of all light-harvesting pigments. However, this decrease was greatly compensated for by a decrease in cell volume. Cellular concentrations of the LH pigments were similar for both iron-replete and iron-deplete cells. Concentrations of chlorophyll a were affected only under low light conditions, wherein concentrations were suppressed by iron limitation. Ratios of the LH pigments to chlorophyll a were highest for iron-deplete cells under both light conditions. The photoprotective cycle of diato/diadinoxanthin was activated under high light conditions, and enhanced by iron stress. The ratio of diatoxanthin to diadinoxanthin was highest under high light, low iron conditions. Iron limitation induced synthesis of 19'-hexanoyloxyfucoxanthin and 19'-butanoyloxyfucoxanthin at the cost of fucoxanthin. Fucoxanthin formed the main carotenoid in iron-replete Phaeocystis cells, whereas for iron-deplete cells 19'-hexanoyloxyfucoxanthin was found to be the main carotenoid. This shift in carotenoid composition is of importance in view of the marker function of both pigments, especially in areas where Phaeocystis sp. and diatoms occur simultaneously. A hypothesis is presented to explain the transformation of fucoxanthin into 19'-hexanoyloxyfucoxanthin and 19'-butanoyloxyfucoxanthin, referring to their roles as a light-harvesting pigment.</t>
  </si>
  <si>
    <t>Univ Groningen, Dept Marine Biol, POB 14, NL-9750 AA Haren, Netherlands.</t>
  </si>
  <si>
    <t>M.A.van.Leeuwe@biol.rug.nl</t>
  </si>
  <si>
    <t>10.1046/j.1529-8817.1998.340496.x</t>
  </si>
  <si>
    <t>WOS:000074730100011</t>
  </si>
  <si>
    <t>Hirst, AC; McDougall, TJ</t>
  </si>
  <si>
    <t>Meridional overturning and dianeutral transport in a z-coordinate ocean model including eddy-induced advection</t>
  </si>
  <si>
    <t>MESOSCALE TRACER TRANSPORTS; RESOLUTION ANTARCTIC MODEL; GENERAL-CIRCULATION MODELS; SOUTHERN-OCEAN; WORLD OCEAN; ATLANTIC-OCEAN; CLIMATE MODELS; WATER MASSES; PARAMETERIZATION; SENSITIVITY</t>
  </si>
  <si>
    <t>The present study examines the marked changes in the patterns of meridional overturning and dianeutral motion that occur upon introduction of the Gent and McWilliams (GM) scheme for eddy-induced transport into a coarse-resolution global ocean model. Results from two versions of the ocean model are compared. The first version does not have the GM scheme and uses a standard background horizontal diffusivity. The second version includes the GM scheme and has zero horizontal diffusivity; Both versions include a weak vertical diffusivity and isoneutral tracer diffusion as implemented by Cox. First, representations of the meridional overturning circulation computed via integration along (i) level, (ii) potential density, and (iii) neutral density (gamma) surfaces are compared. Differences between the level surface representations are similar to those noted in previous studies. Differences between the density surface representations (not previously studied) are major at high densities (gamma or sigma(theta) &gt; 27.0). The residual Deacon cell of the first version has completely vanished in the GM version. The separate direct Antarctic and deep circulation cells of the first version are fully merged in the GM version. In these respects, the solution of the GM version is broadly more consistent with that of the FRAM eddy-permitting simulation. However, introduction of the GM scheme does not aid long-standing model problems of excessive upwelling of deep water into the thermocline in the Pacific and excessive penetration of Antarctic Bottom Water into the North Atlantic. The marked differences between the versions noted above imply marked differences in the dianeutral transport of fluid. A direct calculation of dianeutral transport shows that this transport is much weaker in the Southern Ocean and in the western boundary currents in the GM run. A breakup of the dianeutral transport into components resulting from the individual model mixing processes shows that the sole factor responsible for these qualitative changes is the absence of dianeutral motion induced by horizontal diffusive fluxes in the GM version. The interior dianeutral transport in this version is characterized by widespread and gentle upward motion induced by vertical diffusive fluxes. The results are shown to be insensitive to details of the surface boundary restoration. Consequences for our understanding of (i) the role of the Deacon cell asa tracer transport mechanism and (ii) the nature of the eddy-induced transports as provided by the GM scheme are discussed. In particular, although the total effective transport in the ocean interior is nearly isoneutral in the GM case, the eddy-induced part of that transport is shown to have a large dianeutral component and so cannot be interpreted as an isoneutral bolus transport.</t>
  </si>
  <si>
    <t>CSIRO, Div Atmospher Res, Aspendale, Vic 3195, Australia; CSIRO, Div Marine Res, Hobart, Tas, Australia</t>
  </si>
  <si>
    <t>Commonwealth Scientific &amp; Industrial Research Organisation (CSIRO); Commonwealth Scientific &amp; Industrial Research Organisation (CSIRO)</t>
  </si>
  <si>
    <t>Hirst, AC (corresponding author), CSIRO, Div Atmospher Res, Private Bag 1, Aspendale, Vic 3195, Australia.</t>
  </si>
  <si>
    <t>Hirst, Anthony/N-1041-2014; McDougall, Trevor J/A-6770-2013; Hirst, Anthony/E-2756-2013</t>
  </si>
  <si>
    <t>10.1175/1520-0485(1998)028&lt;1205:MOADTI&gt;2.0.CO;2</t>
  </si>
  <si>
    <t>ZU133</t>
  </si>
  <si>
    <t>WOS:000074165600010</t>
  </si>
  <si>
    <t>Pauly, T; Penrose, JD</t>
  </si>
  <si>
    <t>Laboratory target strength measurements of free-swimming Antarctic krill (Euphausia superba)</t>
  </si>
  <si>
    <t>ACOUSTIC SCATTERING; COPPER SPHERES; CROSS-SECTION; FISH; ZOOPLANKTON; WATERS; SOUND; DANA</t>
  </si>
  <si>
    <t>Target strength measurements of free-swimming krill at 120 kHz were made using a single-beam monostatic system in a 10-m(3) laboratory tank. Krill (grouped according to length classes) swam freely in the tank triggering a data acquisition system when generating a backscattered signal larger than a threshold, determined by the system noise level. Dorsal and ventral target strength estimates were calculated indirectly by deconvolution of the cumulative probability function of echo ensembles of single-animal insonifications. For mean length classes in the range [29.6 to 36.2] mm the median single-animal target strengths are in the range [-76.7 to -71.8] dB. Monte Carlo computer simulations were used to evaluate the effects of varying the ratio of largest to smallest echo amplitudes for a given ensemble, thus enabling the estimation of threshold induced bias in the target strength estimates. The threshold induced bias was then determined for each ensemble of experimental data and used to determine corrections which were in the range of [-0.84 to -0.33] dB. An error analysis of the target strength estimates detailing the components due to measurement accuracy and precision, and the indirect signal processing techniques used is also presented. (C) 1998 Acoustical Society of America.</t>
  </si>
  <si>
    <t>Australian Antarctic Div, Kingston, Tas 7050, Australia; Curtin Univ Technol, Ctr Marine Sci &amp; Technol, Bentley, WA 6102, Australia</t>
  </si>
  <si>
    <t>Australian Antarctic Division; Curtin University</t>
  </si>
  <si>
    <t>Pauly, T (corresponding author), Australian Antarctic Div, Channel Highway, Kingston, Tas 7050, Australia.</t>
  </si>
  <si>
    <t>10.1121/1.423077</t>
  </si>
  <si>
    <t>ZT999</t>
  </si>
  <si>
    <t>WOS:000074151200016</t>
  </si>
  <si>
    <t>Runkel, RL; McKnight, DM; Andrews, ED</t>
  </si>
  <si>
    <t>Analysis of transient storage subject to unsteady flow: diel flow variation in an Antarctic stream</t>
  </si>
  <si>
    <t>JOURNAL OF THE NORTH AMERICAN BENTHOLOGICAL SOCIETY</t>
  </si>
  <si>
    <t>transient storage; hyporheic zone; McMurdo Dry Valleys; OTIS; tracer dilution; solute transport</t>
  </si>
  <si>
    <t>EFFICIENT NUMERICAL-SOLUTION; SANTA-CLARA COUNTY; COBBLE-BED STREAM; UVAS CREEK; TRANSPORT; EQUATIONS; SIMULATION; CALIFORNIA; STRONTIUM; POTASSIUM</t>
  </si>
  <si>
    <t>Transport of dissolved material in streams and small rivers may be characterized using tracer-dilution methods and solute transport models. Recent studies have quantified stream/substream interactions using models of transient storage. These studies are based on tracer-dilution data obtained during periods of steady flow. We present a modeling framework for the analysis of transient storage in stream systems with unsteady flows. The framework couples a kinematic wave routing model with a solute transport model that includes transient storage. The routing model provides time-varying flows and cross-sectional areas that are used as input to the solute transport model. The modeling framework was used to quantify stream/substream interaction in Huey Creek, an Antarctic stream fed exclusively by glacial meltwater. Analysis of tracer-dilution data indicates that there was substantial interaction between the flowing surface water and the hyporheic (substream) zone. The ratio of storage zone area to stream cross-sectional area (A(S)/A) was &gt;1 in all stream reaches, indicating that the substream area contributing to hyporheic exchange was large relative to stream cross-sectional area. The rate of exchange, as governed by the transient storage exchange coefficient (alpha), was rapid because of a high stream gradient and porous alluvial materials. Estimates of alpha generally exceed those determined for other small streams. The high degree of hyporheic exchange supports the hypothesis that weathering reactions within the hyporheos account for observed increases in solute concentration with stream length as noted in other studies of Antarctic streams.</t>
  </si>
  <si>
    <t>US Geol Survey, Denver Fed Ctr, Lakewood, CO 80225 USA</t>
  </si>
  <si>
    <t>United States Department of the Interior; United States Geological Survey</t>
  </si>
  <si>
    <t>Runkel, RL (corresponding author), US Geol Survey, Denver Fed Ctr, Mail Stop 415, Lakewood, CO 80225 USA.</t>
  </si>
  <si>
    <t>runkel@usgs.gov</t>
  </si>
  <si>
    <t>MCKNIGHT, DIANE/0000-0002-4171-1533</t>
  </si>
  <si>
    <t>NORTH AMER BENTHOLOGICAL SOC</t>
  </si>
  <si>
    <t>1041 NEW HAMSPHIRE STREET, LAWRENCE, KS 66044 USA</t>
  </si>
  <si>
    <t>0887-3593</t>
  </si>
  <si>
    <t>J N AM BENTHOL SOC</t>
  </si>
  <si>
    <t>J. N. Am. Benthol. Soc.</t>
  </si>
  <si>
    <t>10.2307/1467958</t>
  </si>
  <si>
    <t>108JL</t>
  </si>
  <si>
    <t>WOS:000075262700001</t>
  </si>
  <si>
    <t>Chinsamy, A; Rich, T; Vickers-Rich, P</t>
  </si>
  <si>
    <t>Polar dinosaur bone histology</t>
  </si>
  <si>
    <t>JOURNAL OF VERTEBRATE PALEONTOLOGY</t>
  </si>
  <si>
    <t>AUSTRALIA; EVOLUTION; FAUNA</t>
  </si>
  <si>
    <t>We report on the bone microstructure of a hypsilophodont and an ornithomimosaur from the Early Cretaceous, Otway Group of Dinosaur Cove in south-eastern Australia, which at the time lay well within the Antarctic Circle. Although subjected to the same environmental conditions, the dinosaurs exhibit different hone histology. The hypsilophodontid shows a continuous rate of bone deposition, while the ornithomimosaur has a cyclical pattern of bone formation. We interpret these varying patterns of bone microstructure as a reflection of different growth strategies of these dinosaurs.</t>
  </si>
  <si>
    <t>S African Museum, ZA-8000 Cape Town, South Africa; Univ Cape Town, ZA-7700 Rondebosch, South Africa; Museum Victoria, Melbourne, Vic 3000, Australia; Monash Univ, Dept Earth Sci, Clayton, Vic 3168, Australia</t>
  </si>
  <si>
    <t>University of Cape Town; Museum Victoria; Monash University</t>
  </si>
  <si>
    <t>Chinsamy, A (corresponding author), S African Museum, POB 61, ZA-8000 Cape Town, South Africa.</t>
  </si>
  <si>
    <t>Chinsamy-Turan, Anusuya/0000-0002-9786-5080</t>
  </si>
  <si>
    <t>SOC VERTEBRATE PALEONTOLOGY</t>
  </si>
  <si>
    <t>401 NORTH MICHIGAN AVE, CHICAGO, IL 60611-4267 USA</t>
  </si>
  <si>
    <t>0272-4634</t>
  </si>
  <si>
    <t>J VERTEBR PALEONTOL</t>
  </si>
  <si>
    <t>J. Vertebr. Paleontol.</t>
  </si>
  <si>
    <t>10.1080/02724634.1998.10011066</t>
  </si>
  <si>
    <t>ZV746</t>
  </si>
  <si>
    <t>WOS:000074337000013</t>
  </si>
  <si>
    <t>Massana, R; Taylor, LJ; Murray, AE; Wu, KY; Jeffrey, WH; DeLong, EF</t>
  </si>
  <si>
    <t>Vertical distribution and temporal variation of marine planktonic archaea in the Gerlache Strait, Antarctica, during early spring</t>
  </si>
  <si>
    <t>WESTERN BRANSFIELD STRAIT; RNA GENE CLONING; MICROBIAL ECOLOGY; HYBRIDIZATION PROBES; BACTERIOPLANKTON; ENVIRONMENTS; PICOPLANKTON; COMMUNITIES; DIVERSITY; ATLANTIC</t>
  </si>
  <si>
    <t>A station located in the Gerlache Strait (Antarctic Peninsula) was sampled during early spring to determine the vertical distribution of marine planktonic archaea and to further describe the dynamic environment where they live. Chlorophyll concentration indicated that sampling occurred during the early stages of austral spring algal development. As expected, prokaryote abundance was higher at surface than at depth, and prokaryotic activity estimated by leucine incorporation was low at the surface and extremely low at 500 m. The relative abundance of planktonic archaeal, eucaryal, and bacterial ribosomal RNA was determined by quantitative rRNA hybridization, and the performance of two different universal probes used to normalize group-specific probe hybridization response was compared. Archaeal rRNA was detected in all samples analyzed, and was more abundant at depth (up to 25% of total rRNA) than at the surface. In both years, the archaeal signal decreased during the sampling period, particularly at surface. Most of the archaeal signal was attributable to group I archaea, affiliated with the kingdom Crenarchaeota. Planktonic euryarchaeotes (group II archaea) showed a larger contribution to the archaeal assemblage in surface waters than at depth. In total, our results verify that planktonic archaea are dynamic and abundant components in marine picoplankton assemblages of the Antarctic Peninsula.</t>
  </si>
  <si>
    <t>DeLong, EF (corresponding author), Monterey Bay Aquarium Res Inst, POB 628,7700 Sandholdt Rd, Moss Landing, CA 95039 USA.</t>
  </si>
  <si>
    <t>10.4319/lo.1998.43.4.0607</t>
  </si>
  <si>
    <t>109KA</t>
  </si>
  <si>
    <t>WOS:000075320300007</t>
  </si>
  <si>
    <t>Vincent, WF; Rae, R; Laurion, I; Howard-Williams, C; Priscu, JC</t>
  </si>
  <si>
    <t>Transparency of Antarctic ice-covered lakes to solar UV radiation</t>
  </si>
  <si>
    <t>AQUATIC FULVIC-ACIDS; ULTRAVIOLET-RADIATION; PHYTOPLANKTON; OZONE; PHOTOSYNTHESIS; INHIBITION; STREAMS; WATERS; PONDS</t>
  </si>
  <si>
    <t>Depth profiles of solar ultraviolet radiation (UVR), photosynthetically available radiation (PAR), and related variables were measured beneath the thick, permanent ice cover of four lakes in the McMurdo Dry Valleys (77 degrees S, 162 degrees E). These lakes span a range of phytoplankton concentrations (0.1-10 mu g Chl a liter(-1)) but receive little input of chromophoric dissolved organic matter (CDOM) from their barren, polar desert catchments. The diffuse attenuation coefficients for downwelling radiation (K-d) in the upper water column of the lakes were at or below those for clear natural waters elsewhere, with minimum values in Lake Vanda of 0.080 (305 nn), 0.055 (320 nm), 0.036 (340 nm), 0.023 (380 nm) and 0.034 (PAR) m(-1), The attenuation lengths (1/K-d) for these lakes and for a set of high latitude lakes in the northern hemisphere (tundra and boreal forest catchments) showed a close log-log relationship with dissolved organic carbon (DOC) concentrations (r(2) greater than or equal to 0.90; n = 20); dry valley lakes were at the high transparency end of this polar-subpolar continuum. Phytoplankton exposure to UVR relative to PAR is known to rise steeply with decreasing DOC in the concentration range 2-4 g m(-3); the addition of the dry valley lakes data shows the continuation of this upward, markedly nonlinear trend at lower DOC concentrations. Calculation of the biologically effective UVR dosage rate for the upper phytoplankton community of Lake Vanda indicated that sufficient UVR penetrates through the 3.5-m-thick lake ice to cause inhibition of algal growth. These results show that polar desert lakes are optical extremes in terms of their water-column transparency to UVR, and that their dilute, mostly autochthonous CDOM offers little protection against the ultraviolet-B radiation flux that is continuing to increase over the polar regions.</t>
  </si>
  <si>
    <t>Univ Laval, Dept Biol, Ste Foy, PQ G1K 7P4, Canada; Univ Laval, Ctr Etud Nord, Ste Foy, PQ G1K 7P4, Canada; Univ Tasmania, Antarctic CRC, Hobart, Tas 7001, Australia; NIWA, Christchurch, New Zealand; Montana State Univ, Dept Biol, Bozeman, MT 59717 USA</t>
  </si>
  <si>
    <t>Laval University; Laval University; University of Tasmania; National Institute of Water &amp; Atmospheric Research (NIWA) - New Zealand; Montana State University System; Montana State University Bozeman</t>
  </si>
  <si>
    <t>Univ Laval, Dept Biol, Ste Foy, PQ G1K 7P4, Canada.</t>
  </si>
  <si>
    <t>Vincent, Warwick/0000-0001-9055-1938; Laurion, Isabelle/0000-0001-8694-3330; Howard-Williams, Clive/0000-0002-8323-6806</t>
  </si>
  <si>
    <t>10.4319/lo.1998.43.4.0618</t>
  </si>
  <si>
    <t>WOS:000075320300008</t>
  </si>
  <si>
    <t>Tyler, SW; Cook, PG; Butt, AZ; Thomas, JM; Doran, PT; Lyons, WB</t>
  </si>
  <si>
    <t>Evidence of deep circulation in two perennially ice-covered Antarctic lakes</t>
  </si>
  <si>
    <t>CHLOROFLUOROCARBONS; TRACERS; CCL2F2; CCL3F; FRYXELL</t>
  </si>
  <si>
    <t>The perennial ice covers found on many of the lakes in the McMurdo Dry Valley region of the Antarctic have been postulated to severely limit mixing and convective turnover of these unique lakes. In this work, we utilize chlorofluorocarbon (CFC) concentration profiles from Lakes Hoare and Fryxell in the McMurdo Dry Valley to determine the extent of deep vertical mixing occurring over the last 50 years. Near the ice-water interface, CFC concentrations in both lakes were well above saturation, in accordance with atmospheric gas supersaturations resulting from freezing under the perennial ice covers. Evidence of mixing throughout the water column at Lake Hoare was confirmed by the presence of CFCs throughout the water column and suggests vertical mixing times of 20-30 years. In Lake, Fryxell, CFC-11, CFC-12, and CFC-113 were found in the upper water column; however, degradation of CFC-11 and CFC-12 in the anoxic bot tom waters appears to be occurring with CFC-113 only present in these bottom waters. The presence of CFC-113 in the bottom waters, in conjunction with previous work detecting tritium in these waters, strongly argues for the presence of convective mixing in Lake Fryxell. The evidence for deep mixing in these lakes may be an important, yet overlooked, phenomenon in the limnology of perennially ice-covered lakes.</t>
  </si>
  <si>
    <t>Univ Nevada, Desert Res Inst, Reno, NV 89506 USA; CSIRO, Ctr Groundwater Studies, Adelaide, SA 5064, Australia; Univ Nevada, Reno, NV 89512 USA; US Geol Survey, Carson City, NV 89706 USA; Univ Alabama, Tuscaloosa, AL 35487 USA</t>
  </si>
  <si>
    <t>Nevada System of Higher Education (NSHE); University of Nevada Reno; Desert Research Institute NSHE; Commonwealth Scientific &amp; Industrial Research Organisation (CSIRO); Flinders University South Australia; Nevada System of Higher Education (NSHE); University of Nevada Reno; United States Department of the Interior; United States Geological Survey; University of Alabama System; University of Alabama Tuscaloosa</t>
  </si>
  <si>
    <t>Tyler, SW (corresponding author), Univ Nevada, Desert Res Inst, Reno, NV 89506 USA.</t>
  </si>
  <si>
    <t>Cook, Peter G/H-3606-2011</t>
  </si>
  <si>
    <t>Cook, Peter/0000-0002-1418-8214</t>
  </si>
  <si>
    <t>10.4319/lo.1998.43.4.0625</t>
  </si>
  <si>
    <t>WOS:000075320300009</t>
  </si>
  <si>
    <t>Stanwell-Smith, D; Clarke, A</t>
  </si>
  <si>
    <t>Seasonality of reproduction in the cushion star Odontaster validus at Signy Island, Antarctica</t>
  </si>
  <si>
    <t>SOUTH-ORKNEY ISLANDS; MARINE-SEDIMENTS; PHYTOPLANKTON; LARVAE; WATER; OCEAN</t>
  </si>
  <si>
    <t>The reproductive and larval biology of the common Antarctic cushion-star Odontaster validus Koehler (Echinodermata: Asteroidea) were studied in a shallow-water population at Signy Island in the maritime Antarctic. The gonad index peaked in April/May, and injection with 1-methyladenine indicated that competence to spawn peaked in May/June. Gastrulae were first detected in May, and maxima; water-column larval densities were measured in July. Reproduction was therefore highly seasonal, although not ail individuals appeared to spawn each year. The pyloric caeca index increased in summer (typically November to March, but variable between years) and decreased during winter (June to October), suggesting that feeding activity was seasonal. Ail aspects of biology investigated showed significant interannual variability. Comparison with previous studies in the high Antarctic at McMurdo Sound indicated a similar if more pronounced seasonality at Signy. but the warmer seawater temperatures in the maritime Antarctic (particularly in late winter/early spring from September onwards) resulted in faster larval development at Signy.</t>
  </si>
  <si>
    <t>10.1007/s002270050339</t>
  </si>
  <si>
    <t>110JY</t>
  </si>
  <si>
    <t>WOS:000075378700008</t>
  </si>
  <si>
    <t>Smith, SDA; Simpson, RD</t>
  </si>
  <si>
    <t>Recovery of benthic communities at Macquarie Island (sub-Antarctic) following a small oil spill</t>
  </si>
  <si>
    <t>ECKLONIA-RADIATA; TAXONOMIC LEVELS; POLLUTION; HOLDFASTS</t>
  </si>
  <si>
    <t>Intertidal communities at Macquarie Island (sub-Antarctic) were re-evaluated seven years after a small oil spill resulting from the grounding of the Nella Dan, and six years after the first assessment of biological impact. Sampling was conducted to evaluate community structure in three zones of the exposed rocky shore (upper red, kelp, and lower red) and in samples of Durvillaea antarctica holdfasts. There were no significant differences between the community structure in oiled and control locations in any of the three shore zones, but holdfast macrofaunal communities at oiled sites still showed evidence of impact. Holdfast community-structure in samples from heavily oiled sites showed moderate levels of recovery, with increased abundances of species which were considered sensitive to the oiling in the first post-impact studies and decreased abundances of opportunistic polychaete and oligochaete worms. In contrast, samples collected from the moderately oiled location at Secluded Bay showed little evidence of recovery. Holdfasts at this site were filled with sediment containing traces of diesel oil, and the macrofaunal community was dominated by opportunistic worms. This study clearly indicates that even small incidents of anthropogenic perturbation can have long-lasting consequences for marine communities at Island.</t>
  </si>
  <si>
    <t>Univ New England, Dept Zool, Armidale, NSW 2351, Australia</t>
  </si>
  <si>
    <t>University of New England</t>
  </si>
  <si>
    <t>Smith, SDA (corresponding author), Univ New England, Dept Zool, Armidale, NSW 2351, Australia.</t>
  </si>
  <si>
    <t>Smith, Stephen D A/I-1945-2012</t>
  </si>
  <si>
    <t>Smith, Stephen D A/0000-0002-3372-5441</t>
  </si>
  <si>
    <t>10.1007/s002270050349</t>
  </si>
  <si>
    <t>WOS:000075378700018</t>
  </si>
  <si>
    <t>Yeats, PA</t>
  </si>
  <si>
    <t>An isopycnal analysis of cadmium distributions in the Atlantic Ocean</t>
  </si>
  <si>
    <t>isopycnal analysis; cadmium; Atlantic Ocean</t>
  </si>
  <si>
    <t>INDIAN-OCEAN; TRACE-METALS; WATER COLUMN; WEDDELL SEA; COPPER; NICKEL; IRON; PHOSPHATE; ZINC; GEOCHEMISTRY</t>
  </si>
  <si>
    <t>The Intergovernmental Oceanographic Commission's baseline study of contaminants in the Atlantic Ocean has provided some important South Atlantic Ocean data for the assessment of the global cadmium vs. phosphate relationship. In this paper, an analysis of the cadmium vs. phosphate relationships found on various density surfaces throughout the oceans is used to address several questions related to the nature of this relationship. The analysis shows that the cadmium distribution in intermediate and deep waters can be described by a single global cadmium vs. phosphate relationship. Upper waters from the North Atlantic are described by a different lower slope relationship that is produced by processes occurring within the Atlantic Ocean basins. Input of low cadmium:phosphate ratio waters from the Antarctic via the northward flowing Antarctic Intermediate Water is not observed. (C) 1998 Elsevier Science B.V.</t>
  </si>
  <si>
    <t>Bedford Inst Oceanog, Dept Fisheries &amp; Oceans, Dartmouth, NS B2Y 4A2, Canada</t>
  </si>
  <si>
    <t>Fisheries &amp; Oceans Canada; Bedford Institute of Oceanography</t>
  </si>
  <si>
    <t>Yeats, PA (corresponding author), Bedford Inst Oceanog, Dept Fisheries &amp; Oceans, POB 1006, Dartmouth, NS B2Y 4A2, Canada.</t>
  </si>
  <si>
    <t>10.1016/S0304-4203(98)00004-8</t>
  </si>
  <si>
    <t>ZT069</t>
  </si>
  <si>
    <t>WOS:000074045100003</t>
  </si>
  <si>
    <t>Aoki, S; Kohyama, N</t>
  </si>
  <si>
    <t>Cenozoic sedimentation and clay mineralogy in the northern part of the Magellan Trough, Central Pacific Basin</t>
  </si>
  <si>
    <t>Magellan Trough; authigenic smectite; clinoptilolite; elastic clay minerals; clay sedimentation</t>
  </si>
  <si>
    <t>DRILLING PROJECT SITE-576; CHEMICAL CHARACTERISTICS; TRANSPORT; HISTORY; CORES</t>
  </si>
  <si>
    <t>Assemblages of clay-sized minerals in twelve deep-sea cores from the northern part of the Magellan Trough in the Central Pacific Basin clearly show that authigenic smectite together with clinoptilolite formed subsea in situ and predominated throughout Palaeogene time. Clastic clay minerals such as chlorite, illite and kaolinite increased at the expense of smectite in sediments deposited since the Pliocene. Most of the authigenic smectites are of the di-octahedral, iron-rich type. The most probable origin of the authigenic smectites is formation from precursors such as volcanic glass. As part of this process biogenic silica evidently contributed to the formation of smectite and zeolites as clinoptilolite. The presence of a tri-octahedral saponite and the TEM morphology of some smectites, on the other hand, suggests that not all of the smectite studied was formed subsea in situ but that some had an allogenic origin. Systematic vertical changes in the assemblage of clay-sized minerals suggest that the authigenesis of submarine smectite and clinoptilolite prevailed in conditions of reduced aridity and weak wind activity throughout the Palaeogene in the study area, However, allogenic clay minerals such as chlorite and illite increased since the Olduvai event under conditions of severe aridity and strong wind activity caused by global climatic change. The west-northwest movement of the Pacific plate must have partly played a role in deposition of the elastic clay-sized minerals from the Asian continent by westerlies in the study area. The widespread occurrence of Cenozoic hiatuses in the study area is attributed to the influence of Antarctic Bottom Water (AABW). The latter must have influenced non-deposition of the clay-sized minerals at times during the Cenozoic. (C) 1998 Elsevier Science B.V. All rights reserved.</t>
  </si>
  <si>
    <t>Natl Inst Ind Hlth, Tama Ku, Kawasaki, Kanagawa 214, Japan</t>
  </si>
  <si>
    <t>10.1016/S0025-3227(98)00017-6</t>
  </si>
  <si>
    <t>ZV321</t>
  </si>
  <si>
    <t>WOS:000074292900003</t>
  </si>
  <si>
    <t>Pudsey, CJ; Howe, JA</t>
  </si>
  <si>
    <t>Quaternary history of the Antarctic Circumpolar Current: evidence from the Scotia Sea</t>
  </si>
  <si>
    <t>Antarctic Circumpolar Current; echo character; glacial cycles; palaeoceanography; sediment transport</t>
  </si>
  <si>
    <t>SOUTHERN-OCEAN; WEDDELL SEA; ARGENTINE BASIN; NORTH-ATLANTIC; DRAKE PASSAGE; DEEP-WATER; LATE PLEISTOCENE; ECHO CHARACTER; SEDIMENTS; CIRCULATION</t>
  </si>
  <si>
    <t>Within the Scotia Sea, the axis of the Antarctic Circumpolar Current (ACC) is geographically confined, and sediments therefore contain a record of palaeo-flow speed uncomplicated by ACC axis migration. We outline Holocene and Last Glacial Maximum (LGM) current-controlled sedimentation using data from 3.5-kHz profiles, cores and current meter moorings. Geophysical surveys show areas of erosion and deposition controlled by Neogene basement topography Deposition occurs in mounded sediment drifts or flatter areas, where 500-1000 m of sediment overlies acoustic basement. 3.5-kHz profiles show parallel, continuous sub-bottom reflectors with highest sedimentation rates in the centre of the drifts, and reflectors converging towards marginal zones of non-deposition. Locally, on the flanks of continental blocks (e.g. South Georgia), downslope processes are dominant. The absence of mudwaves on the sediment drifts may result from the unsteadiness of ACC flow. A core transect from the ACC axis south to the boundary with the Weddell Gyre shows a southward decrease in biogenic content, controlled by the Polar Front and the spring sea-ice edge. Both these features lay farther north at LGM. The cores have been dated by relative abundance of the radiolarian Cycladophora davisiana, and by changes in the biogenic Ba content, a palaeoproductivity indicator. Sedimentation rates range from 3 to 17 cm/ka. The grain size of Holocene sediments shows a coarsening trend from south to north, consistent with strongest bottom-current flow near the ACC axis, though interpretation is complicated by the presence of biogenic grains. Year-long current meter records indicate mean speeds from 7 cm/s in the south to 12 cm/s in the north, with benthic storm frequency increasing northwards. LGM sediments are predominantly terrigenous and show a clearer northward-coarsening trend, with well-sorted silts in the northern Scotia Sea. Assuming a constant terrigenous source, this implies stronger ACC flow at the LGM, contrasting with weaker Weddell Gyre flow deduced from earlier work. (C) 1998 Elsevier Science B.V. All rights reserved.</t>
  </si>
  <si>
    <t>Pudsey, CJ (corresponding author), British Antarctic Survey, High Cross,Madingley Rd, Cambridge CB3 0ET, England.</t>
  </si>
  <si>
    <t>c.pudsey@bas.ac.uk</t>
  </si>
  <si>
    <t>10.1016/S0025-3227(98)00014-0</t>
  </si>
  <si>
    <t>WOS:000074292900007</t>
  </si>
  <si>
    <t>Ventosa, A; Nieto, JJ; Oren, A</t>
  </si>
  <si>
    <t>Biology of moderately halophilic aerobic bacteria</t>
  </si>
  <si>
    <t>MICROBIOLOGY AND MOLECULAR BIOLOGY REVIEWS</t>
  </si>
  <si>
    <t>FATTY-ACID COMPOSITION; INVITRO PROTEIN-SYNTHESIS; GRAM-NEGATIVE BACTERIUM; ANTARCTIC SALINE LAKES; HALOTOLERANT PLANOCOCCUS SP; VARIANS SUBSP HALOPHILUS; RIBOSOMAL-RNA GENE; HALODURANS SP-NOV; VIBRIO-COSTICOLA; HALOMONAS-ELONGATA</t>
  </si>
  <si>
    <t>The moderately halophilic heterotrophic aerobic bacteria form a diverse group of microorganisms. The property of halophilism is widespread within the bacterial domain. Bacterial halophiles are abundant in environments such as salt lakes, saline soils, and salted food products. Most species keep their intracellular ionic concentrations at low levels while synthesizing or accumulating organic solutes to provide osmotic equilibrium of the cytoplasm with the surrounding medium. Complex mechanisms of adjustment of the intracellular environments and the properties of the cytoplasmic membrane enable rapid adaptation to changes in the salt concentration of the environment. Approaches to the study of genetic processes have recently been developed for several moderate halophiles, opening the way toward an understanding of haloadaptation at the molecular level. The new information obtained is also expected to contribute to the development of novel biotechnological uses for these organisms.</t>
  </si>
  <si>
    <t>Univ Seville, Dept Microbiol &amp; Parasitol, Fac Pharm, E-41012 Seville, Spain; Hebrew Univ Jerusalem, Inst Life Sci, Michael Heidelberger Div Immunol, IL-91904 Jerusalem, Israel; Hebrew Univ Jerusalem, Moshe Shilo Minerva Ctr Marine Biogeochem, IL-91904 Jerusalem, Israel</t>
  </si>
  <si>
    <t>University of Sevilla; Hebrew University of Jerusalem; Hebrew University of Jerusalem</t>
  </si>
  <si>
    <t>Ventosa, A (corresponding author), Univ Seville, Dept Microbiol &amp; Parasitol, Fac Pharm, E-41012 Seville, Spain.</t>
  </si>
  <si>
    <t>ventosa@cica.es</t>
  </si>
  <si>
    <t>Oren, Aharon/JOZ-0901-2023; Gutiérrez, Joaquín José Nieto/K-9974-2014; Ventosa, Antonio/K-8239-2017</t>
  </si>
  <si>
    <t>Oren, Aharon/0000-0002-5828-0995; Gutiérrez, Joaquín José Nieto/0000-0001-8879-819X; Ventosa, Antonio/0000-0002-7573-0556</t>
  </si>
  <si>
    <t>1092-2172</t>
  </si>
  <si>
    <t>MICROBIOL MOL BIOL R</t>
  </si>
  <si>
    <t>Microbiol. Mol. Biol. Rev.</t>
  </si>
  <si>
    <t>10.1128/MMBR.62.2.504-544.1998</t>
  </si>
  <si>
    <t>ZT689</t>
  </si>
  <si>
    <t>WOS:000074114800010</t>
  </si>
  <si>
    <t>Bowman, JP; McCammon, SA; Lewis, T; Skerratt, JH; Brown, JL; Nichols, DS; McMeekin, TA</t>
  </si>
  <si>
    <t>Psychroflexus torquis gen. nov., sp. nov., a psychrophilic species from Antarctic sea ice, and reclassification of Flavobacterium gondwanense (Dobson et al. 1993) as Psychroflexus gondwanense gen. nov., comb. nov.</t>
  </si>
  <si>
    <t>Psychroflexus gen. nov.; Antarctica; polyunsaturated fatty acids; psychrophilic bacteria; halophilic bacteria</t>
  </si>
  <si>
    <t>SOUTHERN-OCEAN; FATTY-ACIDS; BACTERIA; BIODIVERSITY; MARINE; BIOSYNTHESIS; MICROBIOTA; ABUNDANCE; SALEGENS; WATERS</t>
  </si>
  <si>
    <t>A group of sea-ice-derived psychrophilic bacterial strains possessing the unusual ability to synthesize the polyunsaturated fatty acids eicosapentaenoic acid (20:5 omega 3) and arachidonic acid (20:4 omega 6) belong to the Family Flavobacteriaceae (Flexibacter-Bacteroides-Flavobacterium phylum), according to 16S rRNA sequence analysis. Surprisingly, the isolates were also found to cluster closely to the moderately halophilic and psychrotrophic species [Flavobacterium] gondwanense (sequence similarity 97.8-98.1%). The whole-cell fatty acid profiles of this group and [Flavobacterium] gondwanense were very similar and distinct from other related flavobacteria. The sea ice strains and [Flavobacterium] gondwanense differed substantially in terms of ecophysiology, possibly representing divergent adaptations to sympagic and planktonic marine habitats, respectively. Evidence based on phylogeny and fatty acid profiles supports the conclusion that the taxa are close relatives distinct from other bacterial groups. It is thus proposed that the sea ice strains represent a novel taxon designated Psychroflexus torquis gen, nov., sp. nov. (type strain ACAM 623(T)) while [Flavobacterium] gondwanense becomes Psychroflexus gondwanense gen, nov., comb. nov.</t>
  </si>
  <si>
    <t>Univ Tasmania, Antarctic CRC, Hobart, Tas 7001, Australia; Univ Tasmania, Sch Agr Sci, Hobart, Tas 7001, Australia</t>
  </si>
  <si>
    <t>Skerratt, Jennifer/F-2010-2015; Bowman, John P./ABF-5108-2020; Bowman, John P/C-2414-2014; skerratt, jennifer/N-4313-2019; Brown, Janelle/B-6629-2011</t>
  </si>
  <si>
    <t>Skerratt, Jennifer/0000-0001-9023-4692; Bowman, John P./0000-0002-4528-9333; Bowman, John P/0000-0002-4528-9333; skerratt, jennifer/0000-0001-9023-4692; Brown, Janelle/0000-0002-9125-8474; Nichols, David/0000-0002-8066-3132</t>
  </si>
  <si>
    <t>10.1099/00221287-144-6-1601</t>
  </si>
  <si>
    <t>ZU225</t>
  </si>
  <si>
    <t>WOS:000074174800016</t>
  </si>
  <si>
    <t>Pirrie, D; Marshall, JD; Crame, JA</t>
  </si>
  <si>
    <t>Marine high Mg calcite cements in Teredolites-bored fossil wood; Evidence for cool paleoclimates in the Eocene La Meseta Formation, Seymour Island, Antarctica</t>
  </si>
  <si>
    <t>PALAIOS</t>
  </si>
  <si>
    <t>JAMES-ROSS-ISLAND; CRETACEOUS STRATIGRAPHY; PENINSULA; SEDIMENTS; PALEOCENE; BIVALVES; BASIN</t>
  </si>
  <si>
    <t>The Eocene La Meseta Formation on Seymour Island, Antarctica, contains a diverse and abundant invertebrate and vertebrate fauna and as such, is of key paleontological importance. Associated with this marine fauna is abundant angiosperm and conifer fossil wood, which commonly contains Teredolites borings. These borings are either infilled by elastic sediment, forming geopetal structures, or by calcite cements. The cements usually comprise two generations of radial-fibrous high-Mg calcite, post-dated by equant sparry calcite. The radial-fibrous cement is largely non-luminescent, non-ferroan calcite. However, within individual generations of radial-fibrous calcite there is a transition from non-ferroan non-luminescent to ferroan, orange-luminescent calcite at the margins of the fringing cement. These radial-fibrous cements have delta(18)O values of between -0.28 and 1.9 parts per thousand VPDB, delta(13)C values of 1.72 to -42.59 parts per thousand, and Mg (ppm) values of between 18360 and 26735. On the basis of cement-fabric, stable isotope, and trace element data, these cements are interpreted as having precipitated from marine pore waters with total dissolved carbon derived from both methane oxidation and an inorganic marine carbon source. As HMC cements are diagenetically unstable, the preservation of these cements is remarkable, and (m)ust reflect very limited post sea-floor diagenesis. In addition, the cement oxygen isotope data are consistent with previous results for molluscs from the La Meseta Formation. These wood cements retain a primary environmental geochemical signature with precipitation from cold marine pore waters at or near the sediment-water interface A cool-to cool-temperate climate is indicated for the lower late early to Early middle Eocene part of the La Meseta Formation. These data support the view that Antarctic climates deteriorated significantly by tate early to early middle Eocene times.</t>
  </si>
  <si>
    <t>Univ Exeter, Camborne Sch Mines, Redruth TR15 3SE, Cornwall, England; Univ Liverpool, Dept Earth Sci, Liverpool L69 3BX, Merseyside, England; British Antarctic Survey, NERC, Cambridge CB3 0ET, England</t>
  </si>
  <si>
    <t>University of Exeter; University of Liverpool; UK Research &amp; Innovation (UKRI); Natural Environment Research Council (NERC); NERC British Antarctic Survey</t>
  </si>
  <si>
    <t>Pirrie, D (corresponding author), Univ Exeter, Camborne Sch Mines, Redruth TR15 3SE, Cornwall, England.</t>
  </si>
  <si>
    <t>Marshall, Jim/AAP-1726-2020</t>
  </si>
  <si>
    <t>Pirrie, Duncan/0000-0002-4954-5920</t>
  </si>
  <si>
    <t>SEPM-SOC SEDIMENTARY GEOLOGY</t>
  </si>
  <si>
    <t>1731 E 71ST STREET, TULSA, OK 74136-5108 USA</t>
  </si>
  <si>
    <t>0883-1351</t>
  </si>
  <si>
    <t>Palaios</t>
  </si>
  <si>
    <t>10.2307/3515450</t>
  </si>
  <si>
    <t>Geology; Paleontology</t>
  </si>
  <si>
    <t>ZQ234</t>
  </si>
  <si>
    <t>WOS:000073836900005</t>
  </si>
  <si>
    <t>Allen, K; Roberts, S; Murray, JW</t>
  </si>
  <si>
    <t>Fractal grain distribution in agglutinated foraminifera</t>
  </si>
  <si>
    <t>PARTICLES</t>
  </si>
  <si>
    <t>A fractal geometry of clast size within the test wall in the Antarctic agglutinated foraminifera Hormosina mortenseni Cushman, 1910 and Cyclammina cancellata Brady, 1879 has been identified with the use of Scanning Electron Microscopic techniques. External surface and internal clast distributions in H. mortenseni display a self-similar distribution. C. cancellata has an internal selfsimilar grain arrangement, whereas the exterior surface shows an alternative grain distribution. Power law relationships between particle density and grain diameter enable values of fractal dimension (D) to be calculated; these D-values represent the absolute gradient of the power law relationship. The dimensions acquired from the foraminiferal study correspond well with those previously obtained from natural fractal geological structures and ideal fractals. The self-similar grain arrangement within walls of the foraminifera exists over three orders of magnitude, after which alternative methods of test wall construction are evident. This suggests that a limit exists where grain selection terminates. A self-similar grain distribution limits the amount of biologically produced adhesive material required by the foraminifera for constructing their tests.</t>
  </si>
  <si>
    <t>Southampton Oceanog Ctr, Dept Geol, Southampton SO14 3ZH, Hants, England</t>
  </si>
  <si>
    <t>Allen, K (corresponding author), Southampton Oceanog Ctr, Dept Geol, Empress Dock,European Way, Southampton SO14 3ZH, Hants, England.</t>
  </si>
  <si>
    <t>112RB</t>
  </si>
  <si>
    <t>WOS:000075507000004</t>
  </si>
  <si>
    <t>Marchal, O; Stocker, TF; Joos, F</t>
  </si>
  <si>
    <t>Impact of oceanic reorganizations on the ocean carbon cycle and atmospheric carbon dioxide content</t>
  </si>
  <si>
    <t>ATLANTIC THERMOHALINE CIRCULATION; DEEP-WATER CIRCULATION; ABRUPT CLIMATE-CHANGE; SEA-LEVEL RECORD; NORTH-ATLANTIC; ICE-CORE; YOUNGER DRYAS; MELTWATER DISCHARGE; HEINRICH EVENTS; GREENLAND ICE</t>
  </si>
  <si>
    <t>A zonally averaged, circulation-biogeochemical ocean model is used to explore how the distribution of PO4 and delta(13)C in the major basins and the atmospheric pCO(2) respond to rapid changes in the thermohaline circulation (TBC). Different evolutions of the Atlantic THC are simulated by applying surface freshwater pulses typical, for example, of Heinrich events and the last deglaciation. In the model, when the THC completely collapses, PO4 increases (&gt;0.5 mmol m(-3)) and delta(13)C decreases (&lt;0.5 parts per thousand) in Atlantic bottom waters because of a drop in ventilation by North Atlantic Deep Water (NADW). Although consistent with the traditional interpretation of sedimentary records of benthic foraminiferal Cd/Ca and delta(13)C, the relationship between the degree of PO4 enrichment and delta(13)C: depletion and the degree of THC reduction is not linear. In the NADW formation area the preformed PO4 declines (&lt;0.5 mmol m(-3)) because of an imbalance between biological uptake and PO4 supply from the deep, and the preformed delta(13)C rises (&gt;11 parts per thousand) because of a longer residence time of waters at the surface. These surface anomalies are propagated to the bottom North Atlantic when the THC resumes, When the thermohaline overturning is only partly reduced and at shallower depths, changes in bottom waters are accompanied by a PO4 decrease and delta(13)C increase at intermediate levels in the mid-latitude Atlantic. This results in enhanced vertical gradients of these properties consistent with chemical and isotopic reconstructions for the last glacial maximum. Finally, the atmospheric pCO(2) increases during the cold period in the North Atlantic when the THC is reduced with am amplitude (7-30 mu atm) and timescale (similar to 10(2) to 1-2 x 10(3) yr) depending on the intensity of the THC change. This is qualitatively consistent with recent data from an Antarctic ice core documenting a pCO(2) increase during the Younger Dryas and after Heinrich events 4 and 5.</t>
  </si>
  <si>
    <t>Marchal, O (corresponding author), Univ Bern, Inst Phys, Sidlerstr 5, CH-3012 Bern, Switzerland.</t>
  </si>
  <si>
    <t>marchal@climate.unibe.ch</t>
  </si>
  <si>
    <t>Stocker, Thomas F/B-1273-2013; Joos, Fortunat/B-4118-2018</t>
  </si>
  <si>
    <t>Joos, Fortunat/0000-0002-9483-6030</t>
  </si>
  <si>
    <t>10.1029/98PA00726</t>
  </si>
  <si>
    <t>ZR778</t>
  </si>
  <si>
    <t>WOS:000074012800002</t>
  </si>
  <si>
    <t>Application of modern analog technique to marine Antarctic diatoms: Reconstruction of maximum sea-ice extent at the Last Glacial Maximum</t>
  </si>
  <si>
    <t>SOUTHERN-OCEAN; ROSS SEA; SEDIMENTS; SENSITIVITY; ASSEMBLAGES; RECORD; SECTOR; HARBOR; CORE</t>
  </si>
  <si>
    <t>Modem analog technique (MAT) applied to Antarctic diatoms is a new approach for quantitative sea-ice paleoreconstructions in the Southern Ocean. Tn a first step we show that MAT is a better approach than the Imbrie and Kipp Method to reconstruct the modern sea-ice pattern. We then use this approach to reconstruct sea-ice presence in number of months per year during the last glacial maximum (LGM). At this time, sea-ice presence was greater than today, leading to a shorter diatom growing season. The maximum sea-ice extent, inferred from quantitative values of sea-ice presence, was located 5-8 degrees north of its actual position, leading to double the surface of modern winter sea ice. This greater sea-ice extent may have played a significant role on atmospheric and surface oceanic circulations and therefore on southern mid-latitude and high-latitude climates. It may also have reduced the amount of heat, moisture, and CO2 from the ocean to the atmosphere, thus participating in the lowering of atmospheric CO2 during the LGM.</t>
  </si>
  <si>
    <t>Univ Bordeaux 1, UMR CNRS 5805, Dept Geol &amp; Oceanog, F-33405 Talence, France; Columbia Univ, Lamont Doherty Earth Observ, Palisades, NY USA</t>
  </si>
  <si>
    <t>Univ Bordeaux 1, UMR CNRS 5805, Dept Geol &amp; Oceanog, Ave Fac, F-33405 Talence, France.</t>
  </si>
  <si>
    <t>10.1029/98PA00339</t>
  </si>
  <si>
    <t>WOS:000074012800007</t>
  </si>
  <si>
    <t>Morgan, RM; Ivanov, AG; Priscu, JC; Maxwell, DP; Huner, NPA</t>
  </si>
  <si>
    <t>Structure and composition of the photochemical apparatus of the Antarctic green alga, Chlamydomonas subcaudata</t>
  </si>
  <si>
    <t>PHOTOSYNTHESIS RESEARCH</t>
  </si>
  <si>
    <t>Antarctic alga; Chlamydomonas; 77 K fluorescence; light harvesting; Photosystem I; psychrophile</t>
  </si>
  <si>
    <t>PHOTOSYSTEM STOICHIOMETRY; LOW-TEMPERATURE; HIGH LIGHT; INDUCED ACCUMULATION; CHROMATIC REGULATION; QUANTUM EFFICIENCY; ICE ALGAE; PHOTOSYNTHESIS; GROWTH; PHOTOADAPTATION</t>
  </si>
  <si>
    <t>The green alga, Chlamydomonas subcaudata, collected from a perennially ice-covered Antarctic lake, was able to grow at temperatures of 16 degrees C or lower, but not at temperatures of 20 degrees C or higher, which confirmed its psychrophilic nature. Low temperature (77 K) Chi a fluorescence emission spectra of whole cells of the mesophile, C. reinhardtii, indicated the presence of major emission bands at 681 and 709 nm associated with PS II and PS I, respectively. In contrast, emission spectra of whole cells of C, subcaudata exhibited major emission bands at 681 and 692 nm associated with PS II, but the absence of a major PS I emission band at 709 nm. These results for C. subcaudata were consistent with: (1) low ratio of Chi a/b (1.80); (2) low levels of PsaA/PsaB heterodimer as well as specific Lhca polypeptides as determined by immunoblotting, (3) decreased levels of the Chi-protein complexes CPI and LHC I associated with PS I, and (4) an increased stability of the oligomeric form of LHC II as assessed by non-denaturing gel electrophoresis in the psychrophile compared to the mesophile. Further more, immunoblotting indicated that the stoichiometry of PS LI:PS I:CF1 is significantly altered in C, subcaudata compared to the mesophile. Even though the psychrophile is adapted to growth at low irradiance, it retained the capacity to adjust the total xanthophyll cycle pool size as well as the epoxidation state of the xanthophyll cycle. Despite these differences, the psychrophile and mesophile exhibited comparable photosynthetic efficiency for O-2 evolution regardless of growth conditions. P-max for both Chlamydomonas species was similar only when grown under identical conditions. We suggest that these photosynthetic characteristics of the Antarctic psychrophile reflect the unusual light and low temperature regime to which it is adapted.</t>
  </si>
  <si>
    <t>Univ Western Ontario, Dept Plant Sci, London, ON N6A 5B7, Canada; Montana State Univ, Dept Biol, Bozeman, MT 59717 USA; Michigan State Univ, DOE, Plant Res Lab, E Lansing, MI 48824 USA</t>
  </si>
  <si>
    <t>Western University (University of Western Ontario); Montana State University System; Montana State University Bozeman; United States Department of Energy (DOE); Michigan State University</t>
  </si>
  <si>
    <t>Univ Western Ontario, Dept Plant Sci, London, ON N6A 5B7, Canada.</t>
  </si>
  <si>
    <t>Morgan-kiss, Rachael/0000-0003-4783-5358; Ivanov, Alexander/0000-0001-7910-5494; Ivanov, Alexander G./0000-0001-7100-9211</t>
  </si>
  <si>
    <t>0166-8595</t>
  </si>
  <si>
    <t>1573-5079</t>
  </si>
  <si>
    <t>PHOTOSYNTH RES</t>
  </si>
  <si>
    <t>Photosynth. Res.</t>
  </si>
  <si>
    <t>10.1023/A:1006048519302</t>
  </si>
  <si>
    <t>113HR</t>
  </si>
  <si>
    <t>WOS:000075545400006</t>
  </si>
  <si>
    <t>Duquesnay, A; Bréda, N; Stievenard, M; Dupouey, JL</t>
  </si>
  <si>
    <t>Changes of tree-ring δ13C and water-use efficiency of beech (Fagus sylvatica L.) in north-eastern France during the past century</t>
  </si>
  <si>
    <t>PLANT CELL AND ENVIRONMENT</t>
  </si>
  <si>
    <t>Fagus sylvatica L., age; C-13/C-12 ratio; isotopic discrimination; long-term trends; north-eastern France; silviculture; water-use efficiency</t>
  </si>
  <si>
    <t>CARBON-ISOTOPE DISCRIMINATION; ATMOSPHERIC CO2 CONCENTRATION; POLAR ICE CORES; GAS-EXCHANGE; DOUGLAS-FIR; STOMATAL DENSITY; ANTARCTIC ICE; 2 CENTURIES; C-13/C-12; DIOXIDE</t>
  </si>
  <si>
    <t>We investigated variation in intrinsic water-use efficiency during the past century by analysing delta(13)C in tree rings of beech growing in north-eastern France. Two different silvicultural systems were studied: high forest and coppice-with-standards, We studied separately effects related to the age of the tree at the time the ring was formed and effects attributable to environmental changes. At young ages, delta(13)C shows an increase of more than 1 parts per thousand. However, age-related trends differ in high forest and coppice-with-standards. Changes in microenvironmental variables during stand maturation, and physiological changes related to structural development of the trees with ageing, could explain these results. During the past century, delta(13)C in tree rings shows a pattern of decline that is not paralleled by air delta(13)C changes. Isotopic discrimination has significantly decreased from 18.1 to 16.4 parts per thousand in high forest and varied insignificantly between 17.4 and 16.9 parts per thousand in coppice-with-standards, As a consequence, intrinsic water-use efficiency has increased by 44% in high forest and 23% in coppice-with-standards during the past century. These results accord with the increased water-use efficiency observed in controlled experiments under a CO2-enriched atmosphere. However other environmental changes, such as nitrogen deposition, may be responsible for such trends.</t>
  </si>
  <si>
    <t>INRA, Ecophysiol Unit, F-54280 Seichamps, France; CEA Saclay, LMCE, F-91191 Gif Sur Yvette, France</t>
  </si>
  <si>
    <t>INRAE; CEA; Universite Paris Saclay</t>
  </si>
  <si>
    <t>INRA, Ecophysiol Unit, F-54280 Seichamps, France.</t>
  </si>
  <si>
    <t>duqouey@nancy.inra.fr</t>
  </si>
  <si>
    <t>Dupouey, Jean-Luc/AAF-5511-2020</t>
  </si>
  <si>
    <t>Dupouey, Jean-Luc/0000-0002-7396-8691</t>
  </si>
  <si>
    <t>0140-7791</t>
  </si>
  <si>
    <t>1365-3040</t>
  </si>
  <si>
    <t>PLANT CELL ENVIRON</t>
  </si>
  <si>
    <t>Plant Cell Environ.</t>
  </si>
  <si>
    <t>10.1046/j.1365-3040.1998.00304.x</t>
  </si>
  <si>
    <t>109DH</t>
  </si>
  <si>
    <t>WOS:000075305600003</t>
  </si>
  <si>
    <t>Croll, DA; Tershy, BR</t>
  </si>
  <si>
    <t>Penguins, fur seals, and fishing: prey requirements and potential competition in the South Shetland Islands, Antarctica</t>
  </si>
  <si>
    <t>DAILY ENERGY-EXPENDITURE; FIELD METABOLIC RATES; KING-GEORGE-ISLAND; CHINSTRAP PENGUINS; ADELIE PENGUINS; PYGOSCELIS-ANTARCTICA; FORAGING ENERGETICS; BREEDING-SEASON; LABELED WATER; HEARD-ISLAND</t>
  </si>
  <si>
    <t>Antarctic and sub-Antarctic seabirds, marine mammals, and human fisheries concentrate their foraging efforts on a single species, Antarctic krill (Euphausia superba). Because these predators may have a significant effect on krill abundance, we estimated the energy and prey requirements of Adelie (Pygoscelis adeliae), chinstrap (Pygoscelis antarctica), and gentoo (Pygoscelis papua) penguins and female Antarctic fur seals (Arctocephalus gazella) breeding on the South Shetland Islands, Antarctica and compared these estimates with catch statistics from the Antarctic krill fishery. Published data on field metabolic rate, population size, diet, prey energy content, and metabolic efficiency were used to estimate prey requirements of these breeding, adult, land-based predators and their dependent offspring. Due to their large population size, chinstrap penguins were the most significant krill predators during the period examined, consuming an estimated 7.8 x 10(8) kg krill, followed by Adelie penguins (3.1 x 10(7) kg), gentoo penguins (1.2 x 10(7) kg), and Antarctic fur seals (3.6 x 10(6) kg). Total consumption of all land-based predators on the South Shetland Islands was estimated at 8.3 x 10(8) kg krill. The commercial krill fishery harvest in the South Shetland Island region (1.0 x 10(8) kg) was approximately 12% of this. Commercial harvest coincides seasonally and spatially with peak penguin and fur seal prey demands, and may affect prey availability to penguins and fur seals. This differs from the conclusions of Ichii et al. who asserted that the potential for competition between South Shetland predators and the commercial krill fishery is low.</t>
  </si>
  <si>
    <t>Univ Calif Santa Cruz, Inst Marine Sci, Santa Cruz, CA 95064 USA</t>
  </si>
  <si>
    <t>Croll, DA (corresponding author), Univ Calif Santa Cruz, Inst Marine Sci, Santa Cruz, CA 95064 USA.</t>
  </si>
  <si>
    <t>10.1007/s003000050261</t>
  </si>
  <si>
    <t>ZR062</t>
  </si>
  <si>
    <t>WOS:000073931800001</t>
  </si>
  <si>
    <t>Kroncke, I</t>
  </si>
  <si>
    <t>Macrofauna communities in the Amundsen Basin, at the Morris Jesup Rise and at the Yermak Plateau (Eurasian Arctic Ocean)</t>
  </si>
  <si>
    <t>ORGANIC-CARBON; MACROBENTHIC COMMUNITIES; MULTIVARIATE ANALYSES; BENTHOS; BIOMASS; ICE</t>
  </si>
  <si>
    <t>Macrofaunal communities of the western Eurasian Arctic Ocean were studied along a transect from the North Pole, across the Amundsen Basin and Gakkel Ridge towards the Morris Jesup Rise and the Yermak Plateau. Samples were collected during autumn 1991, from depths of 560-4411 m, using a box corer. Macro faunal species numbers varied from 1 to 11 per 0.02 m(2) in the basins approaching the Morris Jesup Rise and from 44 to 81 per 0.25 m(2) at the Yermak Plateau. Abundances increased from 1 to 31 per 0.02 m(2) in the basin and on the Morris Jesup Rise to 24-60 per 0.02 m(2) on the Yermak Plateau. Biomass was low in the basin and at the Morris Jesup Rise (0.5-68.9 mg per 0.02 m(2)) but increased to 116.64 mg per 0.02 m(2) at the Yermak Plateau. A total of 108 taxa were recorded. The results contradict the hypothesis that diversity decreases with increasing latitude, and the high species richness at low abundance at intermediate depths was comparable with that observed in Antarctic and tropical regions.</t>
  </si>
  <si>
    <t>Kroncke, I (corresponding author), Senckenberg Inst, Schleusenstr 39A, D-26382 Wilhelmshaven, Germany.</t>
  </si>
  <si>
    <t>10.1007/s003000050263</t>
  </si>
  <si>
    <t>WOS:000073931800003</t>
  </si>
  <si>
    <t>Siegel, V; Loeb, V; Groger, J</t>
  </si>
  <si>
    <t>Krill (Euphausia superba) density, proportional and absolute recruitment and biomass in the Elephant Island region (Antarctic Peninsula) during the period 1977 to 1997</t>
  </si>
  <si>
    <t>The Elephant Island region (Antarctic Peninsula) was selected as a long-term monitoring site to describe the interannual variability of important krill stock parameters. The analysis reviewed and updated krill density and proportional recruitment indices. Krill absolute recruitment and biomass from net sampling surveys are introduced as additional indices from this time series. New survey results from the past two seasons indicate a very successful 1994/1995 year-class and slightly below average proportional recruitment of the 1995/1996 krill year-class. Absolute recruitment of the 1995/1996 year-class was high compared to preceding years, because total stock size was relatively high in 1996/1997. After a period of low krill density and biomass in the area for almost a decade, krill density and biomass have increased. Caution is expressed as to whether this observed increase represents a long-term recovery of the stock.</t>
  </si>
  <si>
    <t>Sea Fisheries Res Inst, D-22767 Hamburg, Germany; Moss Landing Marine Labs, Moss Landing, CA 95039 USA; Inst Balt Fisheries Res, D-18069 Rostock, Germany</t>
  </si>
  <si>
    <t>Moss Landing Marine Laboratories</t>
  </si>
  <si>
    <t>Siegel, V (corresponding author), Sea Fisheries Res Inst, Palmaille 9, D-22767 Hamburg, Germany.</t>
  </si>
  <si>
    <t>10.1007/s003000050264</t>
  </si>
  <si>
    <t>WOS:000073931800004</t>
  </si>
  <si>
    <t>Palm, HW; Reimann, N; Spindler, M; Plotz, J</t>
  </si>
  <si>
    <t>The role of the rock cod Notothenia coriiceps Richardson, 1844 in the life-cycle of Antarctic parasites</t>
  </si>
  <si>
    <t>SOUTH SHETLAND ISLANDS; INSHORE FISH; ACANTHOCEPHALAN INFECTION; WEDDELL SEA; ECOLOGY; NEMATODE; GEORGIA</t>
  </si>
  <si>
    <t>Fifty specimens of Notothenia coriiceps caught in Potter Cove, King George Island, were examined for ecto-and endoparasites. Of the 22 parasite species found, 18 were helminths, 2 were hirudineans and 2 were crustaceans. The isopod Aega antarctica and an unidentified hirudinean are reported for the first time from this fish host. Dominant parasites were the adults of Aspersentis megarhynchus, the invasive stage of Corynosoma spp. (cystacanth) and the adults of Macvicaria pennelli, with respective prevalences of infestation of 94, 76 and 74%. The preferred sites of infestation were the pylorus and intestine, where five different larval (nematodes and cestodes) and eight adult (digeneans and acanthocephalans) parasite species were found. No adult nematodes and cestodes were found and no parasites could be isolated from the musculature. The results of the present study are related to previous findings on the parasite fauna of N. coriiceps. The comparison implies a high parasite diversity in this benthic Antarctic fish species. Most parasites found appear to have a wide range of distribution within Antarctic waters together with a low host specificity. Besides its role as final host for several species of trematodes and acanthocephalans, N. coriiceps serves as transmitter of parasite larvae to piscivorous birds and seals. It is concluded that the parasite fauna in Antarctic fish species provides important insights into the different habitat use and trophic relationship of their fish hosts.</t>
  </si>
  <si>
    <t>Univ Kiel, Dept Fisheries Biol, Marine Pathol Grp, Inst Meereskunde, D-24105 Kiel, Germany; Univ Kiel, Inst Polar Ecol, D-24148 Kiel, Germany; Alfred Wegener Inst Polar &amp; Meeresforsch, D-27568 Bremerhaven, Germany</t>
  </si>
  <si>
    <t>University of Kiel; University of Kiel; Helmholtz Association; Alfred Wegener Institute, Helmholtz Centre for Polar &amp; Marine Research</t>
  </si>
  <si>
    <t>Palm, HW (corresponding author), Univ Kiel, Dept Fisheries Biol, Marine Pathol Grp, Inst Meereskunde, Dusternbrooker Weg 20, D-24105 Kiel, Germany.</t>
  </si>
  <si>
    <t>10.1007/s003000050265</t>
  </si>
  <si>
    <t>WOS:000073931800005</t>
  </si>
  <si>
    <t>Lorentsen, SH; Klages, N; Rov, N</t>
  </si>
  <si>
    <t>Diet and prey consumption of Antarctic petrels Thalassoica antarctica at Svarthamaren, Dronning Maud Land, and at sea outside the colony</t>
  </si>
  <si>
    <t>MARINE RESOURCES; PELAGIC SEABIRD; FORAGING TRIPS; PRYDZ BAY; FOOD; CHICKS; ISLAND; LONG</t>
  </si>
  <si>
    <t>The diet of the Antarctic petrel Thalassoica antarctica was studied during two seasons at Svarthamaren, an inland colony in Dronning Maud Land, Antarctica, and in the pack ice off the coast of Svarthamaren. The most important food (wet mass) at Svarthamaren was crustaceans (67%), fish (29%) and squid (5%); however, individuals collected in the pack ice took mostly fish (87%). The prey composition and lengths of prey are comparable to what has been documented in other studies on this species. Estimates of food consumption by birds breeding at Svarthamaren (ca. 250,000 pairs) suggest that approximately 6500 tonnes of crustaceans, 2800 tonnes of fish and 435 tonnes of squid are consumed during the breeding season. The annual consumptions of these birds are estimated to be 34,100 tonnes of crustaceans, 14,700 tonnes of fish, and 2300 tonnes of squid. Satellite telemetry data indicate that Antarctic petrels from Svarthamaren may fly more than 3000 km during one foraging trip, and thus may cover a huge ocean area to obtain their prey.</t>
  </si>
  <si>
    <t>Lorentsen, SH (corresponding author), Norwegian Inst Nat Res, Tungasletta 2, N-7005 Trondheim, Norway.</t>
  </si>
  <si>
    <t>10.1007/s003000050267</t>
  </si>
  <si>
    <t>WOS:000073931800007</t>
  </si>
  <si>
    <t>Cantone, G; Di Pietro, N</t>
  </si>
  <si>
    <t>A new species of Myriochele (Polychaeta, Oweniidae) from Antarctica, with considerations on the Antarctic oweniids</t>
  </si>
  <si>
    <t>A new species of Oweniidae from the Ross Sea (Antarctica) is described and compared with the remaining species of the genus Myriochele from the Antarctic seas. The authors also discuss the difficulty of detecting the shape of uncini (considered as an important diagnostic character) by optical microscopy; they propose a key to Antarctic Oweniidae based on characters easier to observe than uncini.</t>
  </si>
  <si>
    <t>Catania Univ, Dipartimento Biol Anim, I-95127 Catania, Italy</t>
  </si>
  <si>
    <t>University of Catania</t>
  </si>
  <si>
    <t>Cantone, G (corresponding author), Catania Univ, Dipartimento Biol Anim, Via Androne 81, I-95127 Catania, Italy.</t>
  </si>
  <si>
    <t>10.1007/s003000050268</t>
  </si>
  <si>
    <t>WOS:000073931800008</t>
  </si>
  <si>
    <t>Harley, SL; Snape, I; Black, LP</t>
  </si>
  <si>
    <t>The evolution of a layered metaigneous complex in the Rauer group, east Antarctica: evidence for a distinct Archaean terrane</t>
  </si>
  <si>
    <t>PRECAMBRIAN RESEARCH</t>
  </si>
  <si>
    <t>Archaean; Antarctica; magmatism; metamorphism; zircon</t>
  </si>
  <si>
    <t>PRYDZ BAY AREA; VESTFOLD HILLS; ORTHO-PYROXENE; U-PB; GEOLOGICAL RELATIONSHIPS; LARSEMANN-HILLS; MAFIC DYKES; ZIRCON; GARNET; GRANULITES</t>
  </si>
  <si>
    <t>The Rauer Group in Prydz Bay, East Antarctica, contains both Archaean and Proterozoic crustal components. Archaean geological relationships have been defined from the Scherbinina layered complex (SLC), a polydeformed and metamorphosed Fe-tholeiite intrusive cut by several generations of deformed metabasite dykes, The SLC and three of these dyke generations are intruded by tonalitic and trondhjemitic sheets representative of Archaean felsic orthogneisses present outside the complex. U-Pb SHRIMP dating of zircons precisely defines the magmatic age of the SLC as 2844+/-6 Ma. A tonalite sheet that cuts the SLC preserves a complex zircon isotopic array dominated by inherited grains derived From source rocks up to 3470+/-30 Ma old, but from field evidence was emplaced at ca 2800-2550 Ma. The presence of 3470 Ma source rocks is unique in the East Antarctic Shield, and this feature as well as the prominence of 2840-2800 Ma orthogneisses establishes the Rauer Group as a distinct Archaean terrane. The Archaean of the Rauer Group is not comparable with the nearby Vestfold Hills, where ca 2520-2480 Ma orthogneisses form the dominant rock units. It is likely that the Vestfold Hills and Rauer Group terranes were amalgamated at either 1000 or 500 Ma, rather than at the end of the Archaean. A mid-Proterozoic tectonothermal event documented in the Rauer Group from syn-metamorphic 1030-1000 Ma intrusives (Kinny, P.D., Black, L.P. and Sheraton, J.W., 1993, Zircon ages and the distribution of Archaean and Proterozoic rocks in the Rauer Islands. Antarctic Sci., 5, 193-206) has not been detected in the zircon U-Pb data obtained on the Archaean gneisses examined here. Instead, the SLC and intrusive tonalite show resetting of zircon U-Pb systematics at ca 520 Ma. This resetting reflects Pb-loss within irregular compositional zones and healed cracks in older zircon, and is attributed to the effects of fluid infiltration under greenschist to amphibolite facies conditions, These effects correlate in time with ca 530-510 Ma higher-grade deformation and metamorphism evident in Proterozoic paragneisses exposed in areas to the south-west of the Rauer Group, and may record amalgamation of the Rauer Group with these areas during the East Gondwanian Pan-African orogeny. (C) 1998 Elsevier Science B.V.</t>
  </si>
  <si>
    <t>Univ Edinburgh, Dept Geol &amp; Geophys, Edinburgh EH9 3JW, Midlothian, Scotland; Australian Geol Survey, Div Reg Geol &amp; Minerals, Canberra, ACT 2601, Australia</t>
  </si>
  <si>
    <t>Harley, SL (corresponding author), Univ Edinburgh, Dept Geol &amp; Geophys, Kings Bldgs,W Mains Rd, Edinburgh EH9 3JW, Midlothian, Scotland.</t>
  </si>
  <si>
    <t>sharley@glg.ed.ac.uk</t>
  </si>
  <si>
    <t>EIMF, EIMF/AAD-8512-2020</t>
  </si>
  <si>
    <t>EIMF, EIMF/0000-0001-6248-6657; Harley, Simon/0000-0002-1903-939X</t>
  </si>
  <si>
    <t>0301-9268</t>
  </si>
  <si>
    <t>PRECAMBRIAN RES</t>
  </si>
  <si>
    <t>Precambrian Res.</t>
  </si>
  <si>
    <t>10.1016/S0301-9268(98)00031-X</t>
  </si>
  <si>
    <t>ZR840</t>
  </si>
  <si>
    <t>WOS:000074019800004</t>
  </si>
  <si>
    <t>Smith, CH; Harper, DA</t>
  </si>
  <si>
    <t>Mid-infrared sky brightness site testing at the South Pole</t>
  </si>
  <si>
    <t>PUBLICATIONS OF THE ASTRONOMICAL SOCIETY OF THE PACIFIC</t>
  </si>
  <si>
    <t>During the austral summer of 1996, the mid-infrared imaging polarimeter NIMPOL was operated at the Amundsen-Scott South Pole Station, to obtain quantitative measurements of the 10 and 20 mu m sky brightness and stability. These observations were conducted as part of the Joint Australian Centre for Astrophysical Research in Antarctica (JACARA) site testing program on the Antarctic Plateau. The results of this site testing program are presented. The observations show that the mid-infrared sky brightness at the South Pole Station is much less than comparison sky brightness observations made at the Canberra base of the instrument. This reduction in sky brightness is attributed largely to the low emissivity of the atmosphere (because of its dryness and lack of aerosols), and the effect of the reduced atmospheric temperature (there is an expected decrease by a factor of 2.5 from the temperature difference between the two sites alone). The measured 11 mu m sky emissivity at the South Pole is also lower than previous measurements of the sky emissivity at Mauna Kea Observatory in Hawaii. The sky brightness was also found to be more stable than at the warmer, mid-latitude site (Canberra), and it is expected that stare mode operation of the instrument for astronomical observations would be quite feasible under these conditions. Measurements were also made during a period of ice haze, and the suspended ice crystals were observed to increase the sky background by 16% compared with clear weather and to add low frequency brightness variations. However, this variability could be removed by slow (2 Hz) chopping, allowing high-sensitivity observing to continue through the ice haze.</t>
  </si>
  <si>
    <t>Australian Def Force Acad, UNSW, Univ Coll, Sch Phys, Canberra, ACT 2600, Australia; Univ Chicago, Yerkes Observ, Williams Bay, WI 53191 USA</t>
  </si>
  <si>
    <t>Australian Defense Force Academy; University of New South Wales Sydney; University of Chicago</t>
  </si>
  <si>
    <t>Australian Def Force Acad, UNSW, Univ Coll, Sch Phys, Canberra, ACT 2600, Australia.</t>
  </si>
  <si>
    <t>c-smith@adfa.oz.au; al@hale.yerkes.uchicago.edu</t>
  </si>
  <si>
    <t>Harper, David A.T./C-6888-2012; Smith, Craig Hamilton/JVZ-8521-2024</t>
  </si>
  <si>
    <t>Smith, Craig Hamilton/0009-0002-6723-1041</t>
  </si>
  <si>
    <t>TEMPLE CIRCUS, TEMPLE WAY, BRISTOL BS1 6BE, ENGLAND</t>
  </si>
  <si>
    <t>0004-6280</t>
  </si>
  <si>
    <t>1538-3873</t>
  </si>
  <si>
    <t>PUBL ASTRON SOC PAC</t>
  </si>
  <si>
    <t>Publ. Astron. Soc. Pac.</t>
  </si>
  <si>
    <t>10.1086/316170</t>
  </si>
  <si>
    <t>ZU541</t>
  </si>
  <si>
    <t>WOS:000074208400012</t>
  </si>
  <si>
    <t>Shen, YB</t>
  </si>
  <si>
    <t>A paleoisthmus linking southern south America with the Antarctic Peninsula during Late Cretaceous and Early Tertiary</t>
  </si>
  <si>
    <t>SCIENCE IN CHINA SERIES D-EARTH SCIENCES</t>
  </si>
  <si>
    <t>Late Cretaceous Early Tertiary; South America; Antarctica; paleoisthmus</t>
  </si>
  <si>
    <t>PACIFIC</t>
  </si>
  <si>
    <t>Paleontological and stratigraphical data indicate that a link between terminal southern South America and the Antarctic Peninsula probably was an irregularly narrow continuous land from Late Cretaceous (Campanian) through the Eocene period. In paleogeographical feature it is more like modem Isthmus of Panama. A paleoisthmus called the isthmus of Scotia is hypothesized as a type of connection between them. It lasted about 35 Ma and extended about 700-900 km long and 100-200 km wide. This isthmus played an important role in biotic dispersal and migration among South America, Antarctica, Australia and New Zealand blocks during this interval.</t>
  </si>
  <si>
    <t>Acad Sinica, Inst Geol &amp; Palaeontol, Nanjing 210008, Peoples R China</t>
  </si>
  <si>
    <t>Chinese Academy of Sciences</t>
  </si>
  <si>
    <t>Shen, YB (corresponding author), Acad Sinica, Inst Geol &amp; Palaeontol, Nanjing 210008, Peoples R China.</t>
  </si>
  <si>
    <t>Yubang, Shen/AAC-4325-2019</t>
  </si>
  <si>
    <t>1006-9313</t>
  </si>
  <si>
    <t>SCI CHINA SER D</t>
  </si>
  <si>
    <t>Sci. China Ser. D-Earth Sci.</t>
  </si>
  <si>
    <t>ZW785</t>
  </si>
  <si>
    <t>WOS:000074448100001</t>
  </si>
  <si>
    <t>Bian, LG; Lu, LH; Jia, PQ</t>
  </si>
  <si>
    <t>Experimental observation on the characteristics of the near-surface turbulence over the Antarctic ice sheets during the polar day period</t>
  </si>
  <si>
    <t>Antarctic ice sheets; atmospheric turbulence; roughness; drag coefficient</t>
  </si>
  <si>
    <t>STATION</t>
  </si>
  <si>
    <t>Based on the ultrasonic anemometer/thermometer data in the East Antarctic coastal area ice sheets obtained first by Chinese scientists, turbulent intensity, kinetic energy and sensible heat of turbulence, surface; roughness height drag coefficient and normalized variation were calculated and analysed using the eddy-correlation method. The results show that the values of roughness height and drag coefficient are 4.3 x 10(-4) m and 1.8 x 10(-3), respectively. These turbulent parameters have apparent diurnal variations.</t>
  </si>
  <si>
    <t>Chinese Acad Meteorol Sci, Beijing 100081, Peoples R China</t>
  </si>
  <si>
    <t>China Meteorological Administration; Chinese Academy of Meteorological Sciences (CAMS)</t>
  </si>
  <si>
    <t>Bian, LG (corresponding author), Chinese Acad Meteorol Sci, Beijing 100081, Peoples R China.</t>
  </si>
  <si>
    <t>WOS:000074448100007</t>
  </si>
  <si>
    <t>Junge, K; Gosink, JJ; Hoppe, HG; Staley, JT</t>
  </si>
  <si>
    <t>Arthrobacter, Brachybacterium and Planococcus isolates identified from Antarctic Sea ice brine. Description of Planococcus mcmeekinii, sp. nov.</t>
  </si>
  <si>
    <t>Arthrobacter; Planococcus; Brachybacterium; sea ice bacteria; SIMCO; Gram-positive bacteria; Antarctica</t>
  </si>
  <si>
    <t>GAS VACUOLATE BACTERIA; PHYLOGENETIC ANALYSIS; MAXIMUM-LIKELIHOOD; SCHIRMACHER OASIS; DNA-SEQUENCES; COMB-NOV; MICROCOCCUS; MARINE; ACID; EMENDATION</t>
  </si>
  <si>
    <t>Three facultative psychrophilic Gram-positive bacterial strains were isolated from brine samples from the sea ice community in Antarctica. All strains were coccoid to rod-shaped and exhibited broad salinity and temperature ranges for growth. The three strains were subjected to 16S rDNA sequencing and subsequent phylogenetic analysis. All possess unique 16S rDNA sequences indicating they are new, previously unreported organisms. Phylogenetic analyses coupled with phenotypic characterization indicated that one of the strains is most closely related to the low mol% G + C genus Planococcus for which a new species, P. mcmeekinii, is proposed. The two other strains are members of the high mol% G + C Grampositive bacteria and most closely related to the genera Arthrobacter and Brachybacterium. This study reports the first phylogenetic evidence that Gram-positive bacteria reside in the marine sea ice brine.</t>
  </si>
  <si>
    <t>Univ Washington, Sch Oceanog, Seattle, WA 98195 USA; Univ Washington, Dept Microbiol, Seattle, WA 98195 USA; Univ Kiel, Inst Meereskunde, D-2300 Kiel, Germany</t>
  </si>
  <si>
    <t>University of Washington; University of Washington Seattle; University of Washington; University of Washington Seattle; University of Kiel</t>
  </si>
  <si>
    <t>Junge, K (corresponding author), Univ Washington, Sch Oceanog, Box 357240, Seattle, WA 98195 USA.</t>
  </si>
  <si>
    <t>10.1016/S0723-2020(98)80038-6</t>
  </si>
  <si>
    <t>104DZ</t>
  </si>
  <si>
    <t>WOS:000074998800018</t>
  </si>
  <si>
    <t>Beyer, L; Pingpank, K; Bolter, M; Seppelt, RD</t>
  </si>
  <si>
    <t>Small-distance variation of carbon and nitrogen storage in mineral Antarctic Cryosols near Casey Station (Wilkes Land)</t>
  </si>
  <si>
    <t>ZEITSCHRIFT FUR PFLANZENERNAHRUNG UND BODENKUNDE</t>
  </si>
  <si>
    <t>Antarctica; terrestrial ecosystems; soil pattern; soil carbon; soil nitrogen</t>
  </si>
  <si>
    <t>CONTINENTAL ANTARCTICA; WINDMILL-ISLANDS; SOILS</t>
  </si>
  <si>
    <t>In the antarctic summer 1996 top soils and whole profiles were collected systematically near the Australian Casey Station (Wilkes Land).in order to specify the carbon and nitrogen storage in permafrost-affected mineral soils (Cryosols) of coastal areas of Antarctica. Cryorthents, Cryaquepts and Haplocryods are the main soil units observed. The organic matter accumulation in mineral soils of the ice-free coastal Antarctic region is similar to that of comparable Arctic regions. A Small-distance storage variation is mainly due to the patch pattern of topography, geomorphology and especially soil geography. Haplocryods are important sinks of carbon and nitrogen, whereas the storage in the Cryaquepts is of minor importance. In addition, large parts of the landscape are characterized by Lithic Cryorthents, which store nearly 50% of the organic carbon and 40% of the nitrogen. A high variability in the C and N concentration and storage complicates a calculation of soil C and N storage of the total landscape necessary for developing ecosystem models. However, the survey on landscape level suggests that in 75% of the landscape sites the soil carbon and nitrogen stock is very similar, but a wide-spread podzolization and/or extraordinary organic matter accumulation increases the stocks to a great extent. For this reason a storage estimation could be improved by a proper soil survey.</t>
  </si>
  <si>
    <t>Univ Kiel, Inst Soil Sci, D-24098 Kiel, Germany; Univ Kiel, Inst Polar Ecol, D-24148 Kiel, Germany; Antarctic Div, Kingston, Tas 7050, Australia</t>
  </si>
  <si>
    <t>University of Kiel; University of Kiel; Australian Antarctic Division</t>
  </si>
  <si>
    <t>Beyer, L (corresponding author), Univ Kiel, Inst Soil Sci, Olshausenstr 40, D-24098 Kiel, Germany.</t>
  </si>
  <si>
    <t>0044-3263</t>
  </si>
  <si>
    <t>Z PFLANZ BODENKUNDE</t>
  </si>
  <si>
    <t>Z. Pflanzen. Bodenk.</t>
  </si>
  <si>
    <t>10.1002/jpln.1998.3581610306</t>
  </si>
  <si>
    <t>Agronomy; Plant Sciences; Soil Science</t>
  </si>
  <si>
    <t>Agriculture; Plant Sciences</t>
  </si>
  <si>
    <t>ZW099</t>
  </si>
  <si>
    <t>WOS:000074373900005</t>
  </si>
  <si>
    <t>Vaughan, APM; Wareham, CD; Johnson, AC; Kelley, SP</t>
  </si>
  <si>
    <t>A lower Cretaceous, syn-extensional magmatic source for a linear belt of positive magnetic anomalies: the Pacific Margin Anomaly (PMA), western Palmer Land, Antarctica</t>
  </si>
  <si>
    <t>granites; extension; Gondwana; island arcs</t>
  </si>
  <si>
    <t>CRUSTAL GROWTH; SIERRA-NEVADA; GRAHAM LAND; PENINSULA; ARC; RECONNAISSANCE; GRANITOIDS; BATHOLITH</t>
  </si>
  <si>
    <t>Ar-Ar laserprobe dating suggests that in western Palmer Land, plutons associated with a curvilinear belt of positive magnetic anomalies along the Pacific margin of the Antarctic Peninsula, the Pacific Margin Anomaly (PMA), are Early Cretaceous in age. The new ages, combined with published structural and geochemical studies, suggest that highly magnetically susceptible gabbroic to tonalitic-granodioritic rocks, the probable source of the Palmer Land segment of the PMA, were generated during Early Cretaceous extension when mantle-derived basaltic magma intruded mafic lower to middle crust. Continued extension uplifted newly generated, lower to middle crust through the Curie Isotherm (ca. 600 degrees C) forming the magnetic anomaly. The PMA broadly tracks an arc-parallel band in western Palmer Land where crustal extension and uplift of lower crust were greatest. The close spatial relationship between the PMA and Early Cretaceous, syn-extensional plutons suggests that anomaly area can be used as a crude proxy for the volume of a related plutonic complex; the areal extent of the PMA indicates that a significant proportion of the are crust was newly generated during the Early Cretaceous in western Palmer Land. (C) 1998 Elsevier Science B.V. All rights reserved.</t>
  </si>
  <si>
    <t>British Antarctic Survey, Cambridge CB3 0ET, England; Open Univ, Dept Earth Sci, Milton Keynes MK7 6AA, Bucks, England</t>
  </si>
  <si>
    <t>Vaughan, APM (corresponding author), British Antarctic Survey, High Cross,Madingley Rd, Cambridge CB3 0ET, England.</t>
  </si>
  <si>
    <t>a.vaughan@bas.ac.uk</t>
  </si>
  <si>
    <t>Vaughan, Alan PM/B-7829-2010; Kelley, Simon/AAR-7075-2020</t>
  </si>
  <si>
    <t>MAY 30</t>
  </si>
  <si>
    <t>10.1016/S0012-821X(98)00054-5</t>
  </si>
  <si>
    <t>ZT859</t>
  </si>
  <si>
    <t>WOS:000074135400005</t>
  </si>
  <si>
    <t>Oppenheimer, M</t>
  </si>
  <si>
    <t>Global warming and the stability of the West Antarctic Ice Sheet</t>
  </si>
  <si>
    <t>OCEAN-ATMOSPHERE MODEL; STREAM-B; MASS-BALANCE; SEA-LEVEL; GLACIAL HISTORY; CARBON-DIOXIDE; SHELF; BENEATH; RETREAT; FLOW</t>
  </si>
  <si>
    <t>Of today's great ice sheets, the West Antarctic Ice Sheet poses the most Immediate threat of a large sea-level rise, owing to its potential instability. Complete release of its ice to the ocean would raise global mean sea level by four to six metres, causing major coastal flooding worldwide. Human-induced climate change may play a significant role in controlling the long-term stability of the West Antarctic Ice Sheet and in determining its contribution to sea-level change in the near future.</t>
  </si>
  <si>
    <t>Environm Def Fund, New York, NY 10010 USA</t>
  </si>
  <si>
    <t>Environmental Defense Fund</t>
  </si>
  <si>
    <t>Environm Def Fund, 257 Pk Ave S, New York, NY 10010 USA.</t>
  </si>
  <si>
    <t>Oppenheimer, Michael/0000-0002-9708-5914</t>
  </si>
  <si>
    <t>MAY 28</t>
  </si>
  <si>
    <t>10.1038/30661</t>
  </si>
  <si>
    <t>ZQ593</t>
  </si>
  <si>
    <t>WOS:000073883600043</t>
  </si>
  <si>
    <t>Bromwich, DH; Chen, B; Hines, KM</t>
  </si>
  <si>
    <t>Global atmospheric impacts induced by year-round open water adjacent to Antarctica</t>
  </si>
  <si>
    <t>SOUTHERN-HEMISPHERE CIRCULATION; SEA-ICE; NORTHERN WINTER; ENSO CYCLE; OSCILLATION; CLIMATE; PACIFIC; SENSITIVITY; SIMULATION; OCEAN</t>
  </si>
  <si>
    <t>A sensitivity study to evaluate the greatest impact that sea-ice anomalies around Antarctica could have on the global atmospheric circulation is conducted with the National Center for Atmospheric Research Community Climate Model, Version 2. A 15-year seasonal cycle simulation is performed in which all sea ice around Antarctica is removed and replaced by year-round open water at -1.9 degrees C. The results are compared to a standard 15-year seasonal cycle run with boundary conditions set for the present climate. The comparison shows that substantial changes in pressure, vertical circulation, and precipitation are found in both hemispheres as a result of Antarctic sea-ice removal. These anomalies are more significant in the southern hemisphere during May-September, whereas the anomalies are more notable in the northern hemisphere during September-November, a result which was not present in previous perpetual simulations. Convective precipitation increases and large-scale precipitation decreases as the circumpolar trough moves closer to Antarctica in response to the sea-ice removal. Positive and negative anomalies form a wave-like train in the troposphere. The anomalies include the delayed onset of the winter monsoon over northern China during September. This result is in basic agreement with an observational study that found monsoon parameters are correlated with Antarctic sea-ice characteristics. In addition, the mean meridional circulation and convective precipitation have a monthly modulation of roughly 5% in the tropics. Mechanisms for the global atmospheric propagation of the impact of the Southern Ocean surface heating anomalies are examined.</t>
  </si>
  <si>
    <t>Ohio State Univ, Byrd Polar Res Ctr, Polar Meteorol Grp, Columbus, OH 43210 USA; Ohio State Univ, Dept Geog, Atmospher Sci Program, Columbus, OH 43210 USA</t>
  </si>
  <si>
    <t>University System of Ohio; Ohio State University; University System of Ohio; Ohio State University</t>
  </si>
  <si>
    <t>Ohio State Univ, Byrd Polar Res Ctr, Polar Meteorol Grp, 108 Scott Hall,1090 Carmack Rd, Columbus, OH 43210 USA.</t>
  </si>
  <si>
    <t>bromwich@polarrnet1.mps.ohio-state.edu</t>
  </si>
  <si>
    <t>MAY 27</t>
  </si>
  <si>
    <t>D10</t>
  </si>
  <si>
    <t>10.1029/98JD00624</t>
  </si>
  <si>
    <t>ZP485</t>
  </si>
  <si>
    <t>WOS:000073758200002</t>
  </si>
  <si>
    <t>Nordwall, BD</t>
  </si>
  <si>
    <t>Extremes the norm for Antarctic weather</t>
  </si>
  <si>
    <t>MAY 25</t>
  </si>
  <si>
    <t>ZP654</t>
  </si>
  <si>
    <t>WOS:000073775100029</t>
  </si>
  <si>
    <t>Muramatsu, Y; Wedepohl, KH</t>
  </si>
  <si>
    <t>The distribution of iodine in the earth's crust</t>
  </si>
  <si>
    <t>ICP-MS after pyrohydrolysis; biologic accumulation in sediments; very low I in metamorphic and magmatic rocks; hydrothermal transport</t>
  </si>
  <si>
    <t>PLASMA-MASS SPECTROMETRY; ANTARCTIC METEORITES; SEDIMENTS; SAMPLES; JAPAN; ABUNDANCES; HALOGENS; ROCKS; CL; BR</t>
  </si>
  <si>
    <t>Analytical data by ICP-MS measurements after pyrohydrolysis on a reasonably large series of samples representing about 300 rocks of major units and subunits of the earth's crust, and a few organic materials, are provided for a genetic discussion. Biogenic accumulation and volatilization of iodine from metamorphosed sediments and magmatic rocks has caused extreme gradients of concentrations towards the top of the oceanic and continental crust. Transporting agents for recycling into surface water were hydrothermal fluids and partial volatilization from surface waters which occurred as methyl iodide. Because of the low iodine concentrations in magmatic and metamorphic rocks such samples exposed at the earth's surface not far from the seashore could have undergone contamination by iodine which escaped from the oceans. The high average concentrations of 30 ppm I in deep-sea carbonates and of 2.5 ppm I in continental limestones were accumulated by planktonic and shallow sea organisms, respectively. Deep-sea clays (3.9 ppm I) and continental shales (1.8 ppm I) contain the residual iodine after dissolution and oxidation of a major fraction of carbonates and organic carbon, respectively. Shales vary more in iodine than deep-sea clays because of greater variations in the environments of deposition and diagenesis. The I/C weight ratio increases from 10(-3) to 2 x 10(-1) from reduced to oxygenated recent nearshore sediments. Iodine is more stable than carbon during diagenesis of biogenic sediments. Greywackes and sandstones contain on average 150 and 120 ppb I, respectively. Metasedimentary gneisses, mica schists and granulites have as little as 12 to 25 ppb I and have lost from 75 to &gt; 95% of their iodine at metamorphic temperatures. Granites, granodiorites, tonalites and basalts are even lower in iodine and contain 4 to 9 ppb I almost independent of the species of magmatic rock. The continental crust, the oceanic crust (including seawater) and bulk Earth's crust contain 119 ppb, 777 ppb and similar to 300 ppb I, respectively. Nearly 70% of I is calculated to exist in ocean sediments. The Cl/I weight ratios of the continental, oceanic and bulk Earth's crust are 3800, 4500 and 4300, respectively, to be compared with 1210 and 403 in the Orgueil and Ivuna Cl chondrites. (C) 1998 Elsevier Science B.V. All rights reserved.</t>
  </si>
  <si>
    <t>Natl Inst Radiol Sci, Hitachinaka, Ibaraki 31112, Japan; Inst Geochem, D-37077 Gottingen, Germany</t>
  </si>
  <si>
    <t>National Institutes for Quantum Science &amp; Technology</t>
  </si>
  <si>
    <t>Natl Inst Radiol Sci, Isozaki 3609, Hitachinaka, Ibaraki 31112, Japan.</t>
  </si>
  <si>
    <t>1872-6836</t>
  </si>
  <si>
    <t>10.1016/S0009-2541(98)00013-8</t>
  </si>
  <si>
    <t>ZY119</t>
  </si>
  <si>
    <t>WOS:000074588500001</t>
  </si>
  <si>
    <t>Gobbi, GP; Di Donfrancesco, G; Adriani, A</t>
  </si>
  <si>
    <t>Physical properties of stratospheric clouds during the Antarctic winter of 1995</t>
  </si>
  <si>
    <t>POLAR STRATOSPHERE; WATER-UPTAKE; PARTICLES; AEROSOL; LIDAR; DENITRIFICATION; GROWTH; CONDENSATION; DEHYDRATION; DROPLETS</t>
  </si>
  <si>
    <t>Lidar observations collected during winter 1995 at McMurdo Station, Antarctica (78 degrees S-167 degrees E), are analyzed to determine polar stratospheric cloud (PSC) physical properties. A scheme to infer PSC phase from lidar depolarization and backscatter profiles is presented. Interpretation is supported by collocated temperature soundings and by isentropic back trajectories. The analysis shows that first appearance of PSC is consistent with frozen sulfates, mixing with liquid ternary solutions (H2SO4-HNO3-H2O) when temperature lowers. Finally, solids consistent with HNO3 mixing ratios form as mixed phases first, then followed by full solid phases. Mixed phases (i.e., coexisting solid and liquid aerosols) are detected during the whole winter. While mixed phase PSCs form particularly in the altitude range 15-20 km and are the last to disappear, full solid phases are mainly observed above 20 km and last until the end of August. Mixed phases possess the largest PSC surface areas and, as a result of selective growth, can reach large, fast settling sizes. The considerable denitrification and halogen activation observed in the Antarctic lower stratosphere, where the ozone hole takes place, appears to be well correlated with the action of this kind of PSC.</t>
  </si>
  <si>
    <t>CNR, Ist Fis Atmosfera, Rome, Italy; Ente Nuove Tecnol Energia &amp; Ambiente, Santa Maria Imbaro, Galeria, Italy</t>
  </si>
  <si>
    <t>Gobbi, GP (corresponding author), CNR, Ist Fis Atmosfera, Rome, Italy.</t>
  </si>
  <si>
    <t>gobbi@sunifal.ifsi.rm.cnr.it</t>
  </si>
  <si>
    <t>Adriani, Alberto/0000-0003-4998-8008</t>
  </si>
  <si>
    <t>MAY 20</t>
  </si>
  <si>
    <t>D9</t>
  </si>
  <si>
    <t>10.1029/98JD00280</t>
  </si>
  <si>
    <t>ZN676</t>
  </si>
  <si>
    <t>WOS:000073670500020</t>
  </si>
  <si>
    <t>Wolff, EW; Legrand, MR; Wagenbach, D</t>
  </si>
  <si>
    <t>Coastal Antarctic aerosol and snowfall chemistry</t>
  </si>
  <si>
    <t>SULFATE; SULFUR; MAWSON; ICE; NITROGEN; STATION; ISLAND</t>
  </si>
  <si>
    <t>Aerosol samples have been collected at three stations on the coast of Antarctica. At Dumont d'Urville Station, samples have been collected for 4 years, at Halley Station for 2 years, and at Neumayer Station for 12 years. Fresh snow samples have also been collected at the three sites. At Halley, daily surface snow samples were taken, as well as firn cores covering the sampling period. Meteorological (including upper air) data are available at the three sites. In the subsequent papers of this special section, the data from the three stations have been combined in order to make general statements about the chemistry of aerosol in coastal Antarctica, about the differences between sectors of Antarctica, and about the relationship between air concentrations and the chemistry that is eventually seen in ice cores. This paper summarizes the samples collected and the sampling methods used at the three sites. It also highlights the main role of each paper in this special section.</t>
  </si>
  <si>
    <t>Lab Glaciol &amp; Geophys Environm, F-38402 St Martin Dheres, France; Heidelberg Univ, Inst Umweltphys, D-69120 Heidelberg, Germany; British Antarctic Survey, Nat Environm Res Council, Cambridge CB3 0ET, England</t>
  </si>
  <si>
    <t>Ruprecht Karls University Heidelberg; UK Research &amp; Innovation (UKRI); Natural Environment Research Council (NERC); NERC British Antarctic Survey</t>
  </si>
  <si>
    <t>Lab Glaciol &amp; Geophys Environm, BP 96, F-38402 St Martin Dheres, France.</t>
  </si>
  <si>
    <t>e.wolff@bas.ac.uk; mimi@glaciog.ujf-grenoble.fr; wa@uphysl.uphys.uni-heidelberg.de</t>
  </si>
  <si>
    <t>Wolff, Eric W/D-7925-2014; Legrand, Michel/AAU-4678-2020</t>
  </si>
  <si>
    <t>Wolff, Eric W/0000-0002-5914-8531;</t>
  </si>
  <si>
    <t>10.1029/97JD03454</t>
  </si>
  <si>
    <t>WOS:000073670500025</t>
  </si>
  <si>
    <t>Konig-Langlo, G; King, JC; Pettre, P</t>
  </si>
  <si>
    <t>Climatology of the three coastal Antarctic stations Dumont d'Urville, Neumayer, and Halley</t>
  </si>
  <si>
    <t>SOUTHERN-HEMISPHERE; FLOW</t>
  </si>
  <si>
    <t>Long term air and snowfall chemistry measurements have been performed at the three coastal Antarctic stations Dumont d'Urville (66 degrees 40'S, 140 degrees 1'E), Neumayer (70 degrees 39'S, 8 degrees 15'W), and Halley (75 degrees 35'S, 26 degrees 19'W). The results have to be interpreted and compared with respect to the regional meteorological conditions. In this study the 3-hourly synoptic surface observations taken at the three stations between 1991 and 1995, as well as the daily upper air soundings from 1993, are analyzed to describe the aspects of station climatologies relevant for the air and snowfall chemistry measurements discussed in the papers of this special section. Although the three stations are comparable, being situated close to the coastline of Antarctica, the meteorological conditions differ. While at Dumont d'Urville katabatic winds cause predominant strong and relatively dry surface winds from the interior of Antarctica, Neumayer and Halley are frequently influenced by easterly winds associated mostly with eastward moving cyclones, From April through October the wind field above 5 km is governed by a circumpolar vortex with westerly winds increasing in intensity with height. Dumont d'Urville represents a station at the edge of this vortex with extreme stratospheric wind velocities up to above 50 m s(-1). Neumayer and Halley are mostly situated within the vortex and isolated from air masses advecting from lower latitudes into the upper troposphere and lower stratosphere during the Austral winter.</t>
  </si>
  <si>
    <t>British Antarctic Survey, Ice &amp; Climate Div, Cambridge CB3 0ET, England; Alfred Wegener Inst Polar &amp; Marine Res, D-27568 Bremerhaven, Germany; Meteo France, Ctr Natl Rech Meteorol, Grp Meteorol Grande Echelle &amp; Climat, F-31057 Toulouse, France</t>
  </si>
  <si>
    <t>UK Research &amp; Innovation (UKRI); Natural Environment Research Council (NERC); NERC British Antarctic Survey; Helmholtz Association; Alfred Wegener Institute, Helmholtz Centre for Polar &amp; Marine Research; Meteo France</t>
  </si>
  <si>
    <t>British Antarctic Survey, Ice &amp; Climate Div, High Cross,Madingley Rd, Cambridge CB3 0ET, England.</t>
  </si>
  <si>
    <t>gkoenig@awi-bremerhaven.de; JCKI@pcmail.nerc-bas.ac.uk; paul.pettre@meteo.fr</t>
  </si>
  <si>
    <t>Konig-Langlo, Gert/K-5048-2012</t>
  </si>
  <si>
    <t>Konig-Langlo, Gert/0000-0002-6100-4107</t>
  </si>
  <si>
    <t>10.1029/97JD00527</t>
  </si>
  <si>
    <t>WOS:000073670500026</t>
  </si>
  <si>
    <t>Kottmeier, C; Fay, B</t>
  </si>
  <si>
    <t>Trajectories in the Antarctic lower troposphere</t>
  </si>
  <si>
    <t>WEDDELL SEA; ACCURACY; TRANSPORT; MODELS; WIND</t>
  </si>
  <si>
    <t>The statistics of air mass transport to the Neumayer Antarctic station (8 degrees 22'W, 70 degrees 7'S) are derived from three-dimensional 5-day backward trajectories on the basis of a numerical weather prediction model, the Global Model of the German Weather Service, for the period April 1993 to March 1996. Trajectory errors are discussed in detail and errors of individual trajectories may sum up to from a few hundred to more than a thousand kilometers during 5 days' traveling time despite the high quality of the Global Model and trajectory module described. The most frequent easterly flow at Neumayer consists of advection from oceanic and continental regions. During southeasterly flow, mean trajectories document oceanic air passing coastal continental regions during the 3 days preceding arrival. Air arriving from above the Antarctic continent south of 75 degrees S usually descends over the marginal plateau and especially over the slope region. Advection from the central plateau regions poleward of 80 degrees S is rare. Marine trajectories from latitudes north of 60 degrees S mostly start in 0 - 3 km height. The modeled transport for the arrival levels at 950 hPa and 850 hPa at Neumayer station document that the frequency of oceanic source regions increases with height. Trajectories for 15 other coastal destinations show that near-surface easterly winds with a downslope component dominate along the eastern shore of the Weddell Sea. The prevailing transport from the south at the Filchner Ronne ice shelf arises from deflected barrier winds along the Transantarctic Mountains. At the northern tip of the peninsula, westerly winds prevail, and the air usually originates from the Bellingshausen Sea. The probability of contact with air masses from ice-free continents is small for all coastal sites.</t>
  </si>
  <si>
    <t>Univ Karlsruhe, Inst Meteorol &amp; Klimaforsch, D-76128 Karlsruhe, Germany; Deutsch Wetterdienst, Zent Amt Abt, D-63067 Offenbach, Germany</t>
  </si>
  <si>
    <t>Helmholtz Association; Karlsruhe Institute of Technology; Deutscher Wetterdienst</t>
  </si>
  <si>
    <t>Univ Karlsruhe, Inst Meteorol &amp; Klimaforsch, Kaiserstr 12, D-76128 Karlsruhe, Germany.</t>
  </si>
  <si>
    <t>ckottmei@imk.fzk.de; fay@f4.za-offenbach.dwd.d400.de</t>
  </si>
  <si>
    <t>Kottmeier, Christoph/A-9553-2013</t>
  </si>
  <si>
    <t>Kottmeier, Christoph/0000-0002-2196-2052</t>
  </si>
  <si>
    <t>10.1029/97JD00768</t>
  </si>
  <si>
    <t>WOS:000073670500027</t>
  </si>
  <si>
    <t>Wagenbach, D; Ducroz, F; Mulvaney, R; Keck, L; Minikin, A; Legrand, M; Hall, JS; Wolff, EW</t>
  </si>
  <si>
    <t>Sea-salt aerosol in coastal Antarctic regions</t>
  </si>
  <si>
    <t>MARINE BOUNDARY-LAYER; ICE-CORE; SULFATE; OCEAN; ATMOSPHERE; ISLAND; SULFUR; PARTICLES; SURFACE; STATION</t>
  </si>
  <si>
    <t>Continuous year round records of atmospheric sea-salt concentrations have been recovered at three coastal Antarctic stations (Halley, Dumont D'Urville, and Neumayer) at temporal resolutions typically between 1 day and 2 weeks. The records were evaluated in terms of their spatial and seasonal variability as well as with respect to changes in the relative ion composition of airborn sea-salt particles. Annual mean sea-salt concentrations vary between 1400 ng m(-3) at Dumont D'Urville, 850 ng m(-3) at Neumayer, and 200 ng m(-3) at Halley, respectively. They are thus considerably lower than the mean levels previously observed at the north tip of the Antarctic Peninsula but are, at their lower end, comparable to the level previously reported from Mawson. The representativeness of the atmospheric sea-salt data appears to be weak due to their high temporal variability, strong impacts of site specific aspects (such as site topography) but also due to the nonuniform sampling techniques applied so far. In accordance with the ice core evidence, the seasonal change in the atmospheric sea-salt load is found to be clearly out of phase with the seasonal cycle of the open water fraction offshore from the station as (with the exception of Dumont D'Urville) the lowest concentrations are generally observed during the local summer months. Major ion analyses of bulk aerosol and concurrently sampled fresh snow show a strong, systematic depletion of the SO42- to Na+ (Cl-) ratios with respect to bulk sea water, which appeared to be confined to the local winter half year. During that time, Sea-salt SO42- was found to be depleted typically by 60-80% along with a concurrent Na+ deficit, which is in accordance with the precipitation of mirabilite. No significant fractionation of Mg2+, K+, and Ca2+ between seawater and sea-salt particles is observed. Laboratory experiments failed to simulate the SO42- fractionation in airborne seawater droplets or in the skin of seawater bubbles at low air temperatures. They gave, however, SO42- depletion factors, similar to the field observation in air and snow, in the remaining brine of seawater which was partly frozen below -8 degrees C to an artificial sea ice surface. It is suggested therefore that the mobilization of brine from the sea ice surface constitutes an important sea-salt source in winter which may dominate the atmospheric sea-salt load at high latitudes of coastal Antarctica.</t>
  </si>
  <si>
    <t>CNRS, Lab Glaciol &amp; Geophys Environm, F-38402 St Martin Dheres, France; British Antarctic Survey, Nat Environm Res Council, Cambridge CB3 0ET, England; Heidelberg Univ, Inst Umweltphys, D-69120 Heidelberg, Germany</t>
  </si>
  <si>
    <t>Centre National de la Recherche Scientifique (CNRS); UK Research &amp; Innovation (UKRI); Natural Environment Research Council (NERC); NERC British Antarctic Survey; Ruprecht Karls University Heidelberg</t>
  </si>
  <si>
    <t>CNRS, Lab Glaciol &amp; Geophys Environm, BP 96, F-38402 St Martin Dheres, France.</t>
  </si>
  <si>
    <t>wa@uphys1.uphys.uni-heidelberg.de; rmu@pcmail.nerc-bas.ac.uk; aminikin@awi-bremerhaven.de; mimi@alaska.grenet.fr; ewwo@pcmail.nerc-bas.ac.uk</t>
  </si>
  <si>
    <t>Minikin, Andreas/A-3904-2011; Wolff, Eric W/D-7925-2014; Legrand, Michel/AAU-4678-2020; Mulvaney, Robert/K-3929-2012</t>
  </si>
  <si>
    <t>Wolff, Eric W/0000-0002-5914-8531; Minikin, Andreas/0000-0003-0999-4657; Mulvaney, Robert/0000-0002-5372-8148</t>
  </si>
  <si>
    <t>10.1029/97JD01804</t>
  </si>
  <si>
    <t>WOS:000073670500028</t>
  </si>
  <si>
    <t>Minikin, A; Legrand, M; Hall, J; Wagenbach, D; Kleefeld, C; Wolff, E; Pasteur, EC; Ducroz, F</t>
  </si>
  <si>
    <t>Sulfur-containing species (sulfate and methanesulfonate) in coastal Antarctic aerosol and precipitation</t>
  </si>
  <si>
    <t>ICE-CORE; SEA-ICE; NITRATE CONCENTRATIONS; PHAEOCYSTIS-POUCHETII; DIMETHYL SULFIDE; CAPE-GRIM; PHYTOPLANKTON; ATMOSPHERE; SNOW; CHEMISTRY</t>
  </si>
  <si>
    <t>The concentrations of sulfur-containing species (sulfate and methanesulfonate (MSA)) of aerosols collected at three coastal Antarctic sites (Neumayer, Dumont d'Urville, and Halley) have been studied in order to investigate the natural sulfur cycle at high southern latitudes. The multiple-year data sets indicate annual mean concentrations of MSA and non-sea-salt (nss) sulfate of 38 and 151 ng m(-3) at Neumayer (1983-1995) and 20 and 147 ng m(-3) at Dumont d'Urville (1991-1995). On the basis of the study of a more limited time period (1991 and 1992), the Halley data set indicates significantly lower MSA and nss sulfate concentrations, 15 and 50 ng m(-3), respectiveley. The concentrations of both species exhibit a consistent and strong seasonal cycle with maxima from December to March and minima from May to September (from 2 to 4 and from 17 to 50 ng m(-3), for MSA and nss sulfate, respectively). These data, together with radionuclide studies (Pb-210 and Be-10), indicate that the marine biogenic source dominates the sulfur budget of the boundary layer of these regions throughout the year. The contribution of other sources, such as the long-range transported sulfur from continents and to a lesser extent the stratospheric sulfate reservoir, remains weak when averaged over the year. Differences in the seasonal pattern of the two sulfur-containing species, as well as intersite differences in the summer concentrations, are compared to several factors, mainly the spatial and temporal variations of the chlorophyll content of the surface ocean water and the seasonality of the sea ice cover. This permits investigation of the respective influence of marine regions emitting dimethylsulfide located either near the Antarctic continent (south of 60 degrees S) or at more temperate latitudes. A strong correlation is found between the chlorophyll content of the Antarctic ocean and the level of total nss sulfur. Furthermore, nss sulfate and MSA deposition fluxes determined from firn and ice cores extracted at sites located at various distances from the ocean and various altitudes allow assessment of the spatial variation of the marine biogenic sulfur input in Antarctica.</t>
  </si>
  <si>
    <t>CNRS, Lab Glaciol &amp; Geophys Environm, F-38402 St Martin Dheres, France; British Antarctic Survey, Cambridge CB3 0ET, England; Univ Coll Galway, Atmospher Phys Grp, Dept Phys, Galway, Ireland; Alfred Wegener Inst Polar &amp; Marine Res, D-27515 Bremerhaven, Germany; Heidelberg Univ, Inst Umweltphys, D-69120 Heidelberg, Germany</t>
  </si>
  <si>
    <t>Centre National de la Recherche Scientifique (CNRS); UK Research &amp; Innovation (UKRI); Natural Environment Research Council (NERC); NERC British Antarctic Survey; Ollscoil na Gaillimhe-University of Galway; Helmholtz Association; Alfred Wegener Institute, Helmholtz Centre for Polar &amp; Marine Research; Ruprecht Karls University Heidelberg</t>
  </si>
  <si>
    <t>aminikin@awi-bremerhaven.de; mimi@glaciog.ujf.grenoble.fr; wa@uphysl.uni-heidelberg.de; christoph.kleefeld@ucg.ie; e.wolff@bas.ac.uk</t>
  </si>
  <si>
    <t>Wolff, Eric W/D-7925-2014; Minikin, Andreas/A-3904-2011; Legrand, Michel/AAU-4678-2020</t>
  </si>
  <si>
    <t>Wolff, Eric W/0000-0002-5914-8531; Minikin, Andreas/0000-0003-0999-4657</t>
  </si>
  <si>
    <t>10.1029/98JD00249</t>
  </si>
  <si>
    <t>WOS:000073670500029</t>
  </si>
  <si>
    <t>Legrand, M; Pasteur, EC</t>
  </si>
  <si>
    <t>Methane sulfonic acid to non-sea-salt sulfate ratio in coastal Antarctic aerosol and surface snow</t>
  </si>
  <si>
    <t>MARINE BOUNDARY-LAYER; DIMETHYL SULFIDE; METHANESULFONIC-ACID; SEASONAL-VARIATIONS; SULFUR EMISSIONS; BIOGENIC SULFUR; ICE-SHEET; ATMOSPHERE; OCEAN; SOUTH</t>
  </si>
  <si>
    <t>Multiple-year time series of the weight ratio R of methane sulfonic acid (MSA) to non-sea-salt sulfate (nss SO4) in aerosols collected at three coastal Antarctic stations Neumayer (70 degrees 39'S, 8 degrees 15'W), Halley (75 degrees 35'S, 26 degrees 19'W), and Dumont D'Urville (66 degrees 40'S, 140 degrees 1'E) are presented here. Discarding the November 1991 to October 1992 time period, during which the Antarctic atmosphere is thought to have been contaminated by volcanic plumes (Pinatubo and Cerro Hudson), the multiple-year data sets indicate mean annual R values of 17.9 +/- 10.7% at Neumayer (1983-1995) and 11.7 +/- 6.7% at Dumont D'Urville (1991-1996). On the basis of a more limited time series (February 1991/February 1992), which partly overlaps the volcanic time period, the Halley data had R values of 25.6 +/- 11.9% from October to April. The R seasonal variations are broadly consistent at the three sites, with maxima in mid to late summer (from December to April) ranging from 18.2 +/- 4.6% at Dumont d'Urville to 29.2 +/- 6.5% at Neumayer and 32.2 +/- 6.9% at Halley. Minima are lower than 10% during winter (from May to September) at Neumayer (8.5 +/- 2.5%) and Dumont d'Urville (6.0 +/- 3.0%). The interpretation of these R values in terms of relative abundance of MSA and nss SO4 produced by the oxidation of dimethylsulfide (DMS) at high southern latitudes is not straighforward. In winter, nss sulfate present at coastal Antarctic sites is likely originating in long-range transported by-products from marine DMS emissions taking place at 50 degrees S and non-DMS sulfate from the continental free troposphere. Midwinter R values show a mean ratio of up to 20% for the pure marine input. From September to November, both MSA and nss sulfate concentrations increase in relation to enhanced marine DMS emissions from 50 degrees to 60 degrees S. R values are only weakly enhanced. In summer, the further increase of MSA and nss sulfate concentrations is related to increased biogenic activity south of 60 degrees S and is characterized by R values in the range of 25 to 35%. The mean ratio for DMS marine emissions south of 60 degrees S is close to 62% at Neumayer and 32 to 38% at Dumont d'Urville. These baseline data obtained at coastal Antarctic sites allow us to investigate the role of various parameters that modulate seasonal variations of R at high southern latitudes including the oxidative capacity of the atmosphere, the temperature of the atmospheric oxidation of DMS, and the aging of marine air masses during their transport from source regions toward coastal Antarctic regions.</t>
  </si>
  <si>
    <t>CNRS, Lab Glaciol &amp; Geophys Environm, F-38402 St Martin Dheres, France; British Antarctic Survey, Nat Environm Res Council, Cambridge CB3 0ET, England</t>
  </si>
  <si>
    <t>Centre National de la Recherche Scientifique (CNRS); UK Research &amp; Innovation (UKRI); Natural Environment Research Council (NERC); NERC British Antarctic Survey</t>
  </si>
  <si>
    <t>Legrand, M (corresponding author), CNRS, Lab Glaciol &amp; Geophys Environm, BP 96, F-38402 St Martin Dheres, France.</t>
  </si>
  <si>
    <t>legrand@glaciog.ujf-grenoble.fr</t>
  </si>
  <si>
    <t>Legrand, Michel/AAU-4678-2020</t>
  </si>
  <si>
    <t>10.1029/98JD00929</t>
  </si>
  <si>
    <t>WOS:000073670500030</t>
  </si>
  <si>
    <t>Wagenbach, D; Legrand, M; Fischer, H; Pichlmayer, F; Wolff, EW</t>
  </si>
  <si>
    <t>Atmospheric near-surface nitrate at coastal Antarctic sites</t>
  </si>
  <si>
    <t>SOUTH-POLE; N-15/N-14 RATIOS; SULFATE AEROSOL; SNOW CHEMISTRY; ICE-SHEET; NITROGEN; STRATOSPHERE; TROPOSPHERE; SULFUR; MAWSON</t>
  </si>
  <si>
    <t>Records of atmospheric nitrate were obtained by year-round aerosol sampling at Neumayer and Dumont D'Urville stations, located in the Atlantic and Pacific sector of coastal Antarctica, respectively. Where possible, evaluation of the nitrate records is mainly based on concurrently measured radioisotopes (Be-10, Be-7, Pb-210) as well as delta(15)N in nitrate nitrogen. Observations made at these land two other coastal Antarctic sites [Savoie et al., 1993]) reveal a uniform nitrate background near 10 ng m(-3) persisting throughout coastal Antarctica between approximately April and June. The dominant seasonal nitrate maximum, which occurred between spring and midsummer and ranged from 20 to 70 ng m(-3), tended to increase with latitude. An estimate based on Neumayer mineral dust concentrations suggests that an average of less than 5% of the observed atmospheric nitrate load may be associated with continental tropospheric sources, while a separate estimate based on Pb-210 records implies a much higher proportion of up to 60%. Stratospheric nitrate influx rates seen at coastal sites, deduced from Neumayer Be-10/Be-7 records for stratospheric air mass intrusions and from tritium for the sedimentation of polar stratospheric clouds (PSC), exceed the theoretical stratospheric odd nitrogen production rate from N2O oxidation by almost a factor of 5 and are found to be in close agreement with the observed surface nitrate flux, implying again that the continental source contribution is relatively unimportant. Consideration of nitrate reemission from near-surface snow layers reveals a minor effect of this flux on the global Antarctic troposphere but possibly a substantial influence on the nitrate load of a persistent surface inversion layer. Evaluation of the mean seasonal nitrate pattern, based on concurrent Be-10, Pb-210 and delta(15)N records at Neumayer and on tritium in precipitation at Halley, suggests that the period of significant enhancement above the background mainly reflects inputs of stratospheric nitrate with secondary peaks in winter and late summer most likely dominated by PSC sedimentation and stratospheric air mass intrusions, respectively.</t>
  </si>
  <si>
    <t>Univ Calif San Diego, Scripps Inst Oceanog, La Jolla, CA 92093 USA; CNRS, Lab Glaciol &amp; Geophys Environm, F-38402 St Martin Dheres, France; Austrian Res Ctr Seibersdorf Ltd, A-2444 Seibersdorf, Austria; Heidelberg Univ, Inst Umweltphys, D-69120 Heidelberg, Germany; British Antarctic Survey, Nat Environm Res Council, Cambridge CB3 0ET, England</t>
  </si>
  <si>
    <t>University of California System; University of California San Diego; Scripps Institution of Oceanography; Centre National de la Recherche Scientifique (CNRS); Austrian Institute of Technology (AIT); Ruprecht Karls University Heidelberg; UK Research &amp; Innovation (UKRI); Natural Environment Research Council (NERC); NERC British Antarctic Survey</t>
  </si>
  <si>
    <t>wa@uphysl.uphys.uni-heidelberg.de; mimi@alaska.grenet.fr; pichlmayer@arcs.ac.at; ewwo@pcmail.nerc-bas.ac.uk</t>
  </si>
  <si>
    <t>Legrand, Michel/AAU-4678-2020; Wolff, Eric W/D-7925-2014; Fischer, Hubertus/A-1211-2014</t>
  </si>
  <si>
    <t>Wolff, Eric W/0000-0002-5914-8531; Fischer, Hubertus/0000-0002-2787-4221</t>
  </si>
  <si>
    <t>10.1029/97JD03364</t>
  </si>
  <si>
    <t>Green Accepted, Green Submitted</t>
  </si>
  <si>
    <t>WOS:000073670500031</t>
  </si>
  <si>
    <t>Mulvaney, R; Wagenbach, D; Wolff, EW</t>
  </si>
  <si>
    <t>Postdepositional change in snowpack nitrate from observation of year-round near-surface snow in coastal Antarctica</t>
  </si>
  <si>
    <t>NITRIC-ACID; ICE-SHEET; GREENLAND; FIRN; AIR; CHEMISTRY; NITROGEN; AEROSOLS; SULFATE; RECORD</t>
  </si>
  <si>
    <t>Postdepositional loss of nitrate in near-surface snowfall is well known, with mean levels of nitrate in ice cores of around 20 to 80 ng g(-1), while nitrate in surface snow may occasionally reach over 300 ng g(-1). This has been explained as reemission of nitrate (as nitric acid) during aging, via processes that are not yet clear. However, clear seasonal cycles remain in nitrate profiles from higher accumulation rate ice cores and, across Antarctica, the mean concentration of nitrate is remarkably similar despite widely varying deposition conditions, marking nitrate out as quite different to other major ice core species. This paper examines the year-round deposition of nitrate at the snow surface at a coastal Antarctic site and discusses the degree and timing of nitrate loss. At Halley Station, Antarctica, the mean concentration of nearsurface snow was 96 ng g(-1) over a 2.6 year daily sampling period, while the mean concentration in newly accumulated snow was 79 ng g(-1). At the end of this period, a shallow core integrating the sampling period had a mean nitrate concentration of 65 ng g(-1) taken over 2 full years of accumulation. Nitrate concentrations in the surface layer were in general highest during the summer period reaching 400 ng g(-1) with a mean of about 150 ng g(-1) in each of December, January, and February, and lowest during the winter with a mean of around 50 ng g(-1) in June, Fresh snow data from Neumayer Station shows a similar seasonal signal, with a mean nitrate concentration of 77 ng g(-1), while year-round aerosol data shows total nitrate (particulate and gas phase) in the air is at a minimum in April to June and reaches a maximum in late November [Wagenbach et al., this issue], slightly out of phase with snowfall nitrate. The observation of a reduction in high nitrate concentrations in new snowfall over a few days does not appear to be general, and at Halley, there is evidence of both uptake and loss of nitrate in the surface snow layer, possibly indicating an equilibrium with changing air concentrations. However, there is attenuation of the nitrate signal over the longer period, with concentrations in the ice core taken at the end of sampling never reaching values seen in the upper surface layer.</t>
  </si>
  <si>
    <t>British Antarctic Survey, Nat Environm Res Council, Cambridge CB3 0ET, England; Heidelberg Univ, Inst Umweltphys, D-69120 Heidelberg, Germany</t>
  </si>
  <si>
    <t>UK Research &amp; Innovation (UKRI); Natural Environment Research Council (NERC); NERC British Antarctic Survey; Ruprecht Karls University Heidelberg</t>
  </si>
  <si>
    <t>British Antarctic Survey, Nat Environm Res Council, Madingley Rd, Cambridge CB3 0ET, England.</t>
  </si>
  <si>
    <t>r.mulvaney@bas.ac.uk; wa@uphys1.uphys.uni-heidelberg.de; e.wolff@bas.ac.uk</t>
  </si>
  <si>
    <t>Wolff, Eric W/D-7925-2014; Mulvaney, Robert/K-3929-2012</t>
  </si>
  <si>
    <t>Wolff, Eric W/0000-0002-5914-8531; Mulvaney, Robert/0000-0002-5372-8148</t>
  </si>
  <si>
    <t>10.1029/97JD03624</t>
  </si>
  <si>
    <t>WOS:000073670500032</t>
  </si>
  <si>
    <t>Wolff, EW; Cachier, H</t>
  </si>
  <si>
    <t>Concentrations and seasonal cycle of black carbon in aerosol at a coastal Antarctic station</t>
  </si>
  <si>
    <t>SOUTH-POLE; ICE CORE; ATMOSPHERE; TROPICS</t>
  </si>
  <si>
    <t>Aerosol black carbon concentrations have been measured between 1992 and 1995 at Halley station using an aethalometer. The complete record is dominated by a number of events of high concentration that are dearly due to contamination from the station generators. However, using detailed meteorological data, it is possible rather satisfactorily to remove these events from the record. The events can be used to show that local contamination has no significant effect on sulfate or other major ion data. The remaining data then show a clear seasonal cycle, with monthly mean values of 0.3-2 ng m(-3), slightly higher than those recorded at south pole. The cycle peaks in summer, with a possible doublet, and an overall maximum in October. This pattern is similar to that of south pole and of mineral dust at the coastal Neumayer station. The pattern seems to be controlled by the timing of biomass burning in the tropics, strongly modulated by the efficiency of transport to Antarctica. This transport seems to be poorly represented in model simulations. The concentrations are too low to have any significant effect on snow albedo. The similarity of the Halley and south pole data suggest that ice cores should give a historical record of black carbon that is rather representative of the Antarctic as a whole and therefore indicative of trends in biomass burning throughout the southern hemisphere.</t>
  </si>
  <si>
    <t>CEA, CNRS, Lab Mixte, Ctr Faibles Radioactivites, F-91198 Gif Sur Yvette, France; British Antarctic Survey, Cambridge CB3 0ET, England</t>
  </si>
  <si>
    <t>Universite Paris Saclay; Centre National de la Recherche Scientifique (CNRS); CEA; UK Research &amp; Innovation (UKRI); Natural Environment Research Council (NERC); NERC British Antarctic Survey</t>
  </si>
  <si>
    <t>Wolff, EW (corresponding author), CEA, CNRS, Lab Mixte, Ctr Faibles Radioactivites, Ave Terrasse, F-91198 Gif Sur Yvette, France.</t>
  </si>
  <si>
    <t>e.wolff@bas.ac.uk; helene.cachier@cfr.cnrs-gif.fr</t>
  </si>
  <si>
    <t>10.1029/97JD01363</t>
  </si>
  <si>
    <t>Green Published, Bronze, Green Accepted</t>
  </si>
  <si>
    <t>WOS:000073670500033</t>
  </si>
  <si>
    <t>Legrand, M; Ducroz, F; Wagenbach, D; Mulvaney, R; Hall, J</t>
  </si>
  <si>
    <t>Ammonium in coastal Antarctic aerosol and snow: Role of polar ocean and penguin emissions</t>
  </si>
  <si>
    <t>ORNITHOGENIC SOILS; DIMETHYL SULFIDE; REDUCED NITROGEN; ICE CORE; GREENLAND; SULFUR; PHYTOPLANKTON; ATMOSPHERE; ROOKERIES; REGIONS</t>
  </si>
  <si>
    <t>Year-round aerosol samples collected in the boundary layer at coastal Antarctic sites (Dumont D'Urville, Neumayer, and Halley) indicate a seasonal cycle of ammonium concentrations with a minimum in winter (April-September), A large intersite difference appears in the summer (November-February) maxima values, from similar to 12.5 ng m(-3) at Neumayer to 140-230 ng m(-3) at Dumont D'Urville. At Dumont D'Urville, ammonium concentrations are the largest ever reported from Antarctic sites, and the large summer maxima are associated with large enrichments with respect to sea salt for potassium and calcium. In addition, seasonal ammonium variations at Dumont D'Urville are in phase with a well-marked seasonal cycle of oxalate concentrations which exhibit maxima of 5-10 ng m(-3) in spring and summer and minima of less than 0.5 ng m(-3) in winter. Such a composition of aerosols present in the boundary layer at Dumont D'Urville in summer is linked to the presence of a large Adelie penguin population from the end of October to March at the site. Ornithogenic soils (defined as guano-enriched soils), together with the bacterial decomposition of uric acid, are a source of ammonium, oxalate, and cation (such as potassium and calcium) aerosol, in addition to a subsequent large ammonia loss from ornithogenic soils to the atmosphere. The total breeding population of 5 million Adelie penguins widely distributed around the Antarctic continent may emit, at most, some 2.5x10(-4) Mt of NH3-N during the summer months. In contrast, Halley and Neumayer Stations are far less exposed to penguin colony emissions. At Neumayer, ammonium concentrations peak from January to March and are in phase with the increase of biogenic sulfur species. Here the NH4+/(MSA + nss SO4-) molar ratio is close to 13% in summer aerosol and to 40% in winter aerosol. Using this summer ratio, which may be related to ammonia and sulfur oceanic emissions occurring south of 50 degrees S in summer and estimated DMS emissions in these regions at this time, we derive an upper limit of 0.064 Mt NH3-N emitted per year by the high-latitude Southern Ocean in summer. This study indicates a very limited ammonia neutralization of acidic sulfate aerosols at high southern latitudes, except in the vicinity of ornithogenic soils occupied by large penguin colonies.</t>
  </si>
  <si>
    <t>CNRS, Lab Glaciol &amp; Geophys Environm, St Martin Dheres, France; Heidelberg Univ, Inst Umweltphys, D-69120 Heidelberg, Germany; NERC, Cambridge CB3 0ET, England</t>
  </si>
  <si>
    <t>Centre National de la Recherche Scientifique (CNRS); Ruprecht Karls University Heidelberg; UK Research &amp; Innovation (UKRI); Natural Environment Research Council (NERC); NERC British Antarctic Survey</t>
  </si>
  <si>
    <t>CNRS, Lab Glaciol &amp; Geophys Environm, 54 Rue Moliere,BP 96, St Martin Dheres, France.</t>
  </si>
  <si>
    <t>Legrand, Michel/AAU-4678-2020; Mulvaney, Robert/K-3929-2012</t>
  </si>
  <si>
    <t>10.1029/97JD01976</t>
  </si>
  <si>
    <t>WOS:000073670500034</t>
  </si>
  <si>
    <t>Wolff, EW; Hall, JS; Mulvaney, R; Pasteur, EC; Wagenbach, D; Legrand, M</t>
  </si>
  <si>
    <t>Relationship between chemistry of air, fresh snow and firn cores for aerosol species in coastal Antarctica</t>
  </si>
  <si>
    <t>GREENLAND ICE-SHEET; SEASONAL-VARIATIONS; SAMPLING PROGRAM; DRY DEPOSITION; SIMPLE-MODEL; DYE-3 GAS; PENINSULA; SUMMIT</t>
  </si>
  <si>
    <t>Aerosol and fresh snow concentrations have been determined at three coastal Antarctic stations, Dumont d'Urville, Halle), and Neumayer. Model estimates suggest that dry deposition, including that caused by wind pumping, is only a minor contributor (of order 1%) to chemical fluxes at these sites with relatively high snow accumulation. Larger dry deposition fluxes are possible for very large aerosol particles, including sea-salt aerosol. Measurements of surface snow on successive days provide experimental data that constrain the contribution of dry deposition to probably less than 10% of annual fluxes for all ions, although very high episodic fluxes of giant sea-salt aerosol cannot be ruled out. Spatial variability, and frequent snow, fog and drift events, make it difficult to improve this quantification. Both theory and measurement suggest that fog deposition is also a minor contributor to the annual flux (probably &lt;1%). Sublimation of surface snow and of blowing snow may increase snow concentrations by a few percent, with a larger role in summer, but should not affect fluxes. Wet deposition in falling snow appears to be by far the major contributor. However, the relationship between concentrations ih snow and iri simultaneously sampled aerosol at ground level was poor for most species. Scavenging ratios derived from these data are higher than those from the limited data previously available, but have huge uncertainties associated with them, Particularly at sites with frequent drifting snow, ground-level aerosol measurements may be inappropriate for deriving scavenging ratios. Despite this, there is a general seasonal coincidence of high aerosol concentrations and high snow concentrations. We are also able to trace the chemistry of fresh snowfall to an ice core collected up to 2 years later. Although some major snowfall event's may be missing, it seems that, as expected, there is no significant postdepositional modification of chemistry for aerosol species in the top meter of firn.</t>
  </si>
  <si>
    <t>British Antarctic Survey, Nat Environm Res Council, Cambridge CB3 0ET, England; Lab Glaciol &amp; Geophys Environm, F-38402 St Martin Dheres, France; Heidelberg Univ, Inst Umweltphys, D-69120 Heidelberg, Germany</t>
  </si>
  <si>
    <t>British Antarctic Survey, Nat Environm Res Council, High Cross,Madingley Rd, Cambridge CB3 0ET, England.</t>
  </si>
  <si>
    <t>e.wolff@bas.ac.uk; wa@uphys1.uphys.uni-heidelberg.de; legrand@glaciog.ujf-grenoble.fr</t>
  </si>
  <si>
    <t>Legrand, Michel/AAU-4678-2020; Wolff, Eric W/D-7925-2014; Mulvaney, Robert/K-3929-2012</t>
  </si>
  <si>
    <t>10.1029/97JD02613</t>
  </si>
  <si>
    <t>WOS:000073670500035</t>
  </si>
  <si>
    <t>Feller, G; D'Amico, S; Benotmane, AM; Joly, F; Van Beeumen, J; Gerday, C</t>
  </si>
  <si>
    <t>Characterization of the C-terminal propeptide involved in bacterial wall spanning of α-amylase from the psychrophile Alteromonas haloplanctis</t>
  </si>
  <si>
    <t>GRAM-NEGATIVE BACTERIA; IGA PROTEASE-TYPE; ESCHERICHIA-COLI; NUCLEOTIDE-SEQUENCE; PRO-SEQUENCE; SECRETION; MEMBRANE; PROTEINS; PURIFICATION; GENE</t>
  </si>
  <si>
    <t>The antarctic psychrophile Alteromonas haloplanctis secretes a Ca2+- and Cl--dependent alpha-amylase. The nucleotide sequence of the amy gene and the amino acid sequences of the gene products indicate that the alpha-amylase precursor is a preproenzyme composed by the signal peptide (24 residues), the mature alpha-amylase (453 residues, 49 kDa), and a long C-terminal propeptide or secretion helper (192 residues, 21 kDa). In cultures of the wild-type strain, the 70-kDa precursor is secreted at the mid-exponential phase and is cleaved by a nonspecific protease into the mature enzyme and the propeptide. The purified C-terminal propeptide displays several features common to beta-pleated transmembrane proteins. It has no intramolecular chaperone function because active alpha-amylase is expressed by Escherichia coli in the absence of the propeptide coding region, In E. coli, the 70-kDa precursor is directed toward the supernatant, When the alpha-amylase coding region is excised from the gene, the secretion helper can still promote its own membrane spanning. It can also accept a foreign passenger, as shown by the extracellular routing of a beta-lactamase-propeptide fusion protein.</t>
  </si>
  <si>
    <t>Univ Liege, Inst Phys B6, Biochem Lab, B-4000 Liege, Belgium; State Univ Ghent, Lab Prot Biochem &amp; Prot Engn, B-9000 Gent, Belgium</t>
  </si>
  <si>
    <t>University of Liege; Ghent University</t>
  </si>
  <si>
    <t>Feller, G (corresponding author), Univ Liege, Inst Phys B6, Biochem Lab, B-4000 Liege, Belgium.</t>
  </si>
  <si>
    <t>gfeller@ulg.ac.be</t>
  </si>
  <si>
    <t>Benotmane, Rafi/0000-0002-8985-1578</t>
  </si>
  <si>
    <t>MAY 15</t>
  </si>
  <si>
    <t>10.1074/jbc.273.20.12109</t>
  </si>
  <si>
    <t>ZN277</t>
  </si>
  <si>
    <t>hybrid, Green Published</t>
  </si>
  <si>
    <t>WOS:000073629800020</t>
  </si>
  <si>
    <t>Gan, JP; Mysak, LA; Straub, DN</t>
  </si>
  <si>
    <t>Simulation of the South Atlantic Ocean circulation and its seasonal variability</t>
  </si>
  <si>
    <t>GEOSTROPHIC CIRCULATION; SOUTHWESTERN ATLANTIC; GENERAL-CIRCULATION; NORTH-ATLANTIC; WORLD OCEAN; WIND STRESS; COASTAL BAY; TRANSPORT; BRAZIL; MODEL</t>
  </si>
  <si>
    <t>The high-resolution Princeton Ocean Model is used to simulate the circulation and seasonal variability of the South Atlantic Ocean. A diagnostic calculation, using the Levitus annual mean fields and forcing consisting of the climatological annual mean wind stress, produces a realistic steady circulation pattern. In particular, the meridional overturning cell shows equatorward how in the surface and intermediate waters and poleward how at depth. Associated with this circulation is a northward heat transport that reaches a maximum of 1 PW near 20 degrees S. The model results are improved when the density field near the ocean bottom is allowed to deviate from the Levitus values. Using forcing consisting of observed monthly wind stress, heat flux and a prescribed seasonally varying Antarctic Circumpolar Current (ACC), a prognostic calculation is next carried out to study the seasonal variability in the South Atlantic Ocean. With a realistic heat flux, the model output for the seasonal thermal field compares well with that in the Levitus data. An analysis suggests that the seasonal cycle of the Brazil Current separation latitude, as well as the strength of the Falkland-Malvinas Current depends more strongly on the prescribed seasonal variability in the strength of the ACC than on the seasonal variations in wind and buoyancy forcing in the South Atlantic.</t>
  </si>
  <si>
    <t>McGill Univ, Dept Atmospher &amp; Ocean Sci, Montreal, PQ H3A 2K6, Canada</t>
  </si>
  <si>
    <t>McGill University</t>
  </si>
  <si>
    <t>Gan, JP (corresponding author), Oregon State Univ, Coll Ocean &amp; Atmospher Sci, Oceanog Adm Bldg 104, Corvallis, OR 97331 USA.</t>
  </si>
  <si>
    <t>gan@oce.orst.edu; mysak@zephyr.meteo.mcgill.ca; david@gumbo.meteo.mcgill.ca</t>
  </si>
  <si>
    <t>Gan, Jianping/AAJ-6821-2021</t>
  </si>
  <si>
    <t>Gan, Jianping/0000-0001-9827-7929</t>
  </si>
  <si>
    <t>C5</t>
  </si>
  <si>
    <t>10.1029/98JC00367</t>
  </si>
  <si>
    <t>ZN319</t>
  </si>
  <si>
    <t>WOS:000073634000003</t>
  </si>
  <si>
    <t>Gallee, H; Pettre, P</t>
  </si>
  <si>
    <t>Dynamical constraints on Katabatic Wind Cessation in Adelie Land, Antarctica</t>
  </si>
  <si>
    <t>JOURNAL OF THE ATMOSPHERIC SCIENCES</t>
  </si>
  <si>
    <t>GREENLAND ICE-SHEET; ROSS SEA; SIMULATION; FLOW; CIRCULATION; REGIME; LAYER; MODEL; MOISTURE; GIMEX-91</t>
  </si>
  <si>
    <t>The katabatic wind events observed in the coastal zone of Adelie Land, Antarctica, on 27 November and 3 December 1985 are simulated with a hydrostatic mesoscale atmospheric model coupled to a snow moder. The diurnal cycle of insolation is strong. The main difference in the forcing between the two events is the large-scale wind, which is weak on 27 November and moderate on 3 December. In both cases temperature and wind are characterized by well-marked diurnal cycles. In particular, katabatic winds blow during nighttime and upslope winds during daytime. In both cases the katabatic airstream slows down progressively over the ocean. Consequently, continental air piles up and this generates a pool of cold air responsible for a pressure gradient force opposing the katabatic wind. An amplification of the slowing down results. When, in the morning, insolation increases, the surface inversion weakens but the influence of the cold air pool increases. The katabatic how starts to decay over the coastal zone and then retreats progressively toward the ice sheet interior. When the large-scale wind is weak, the surface warming is sufficient for generating an additional upslope bouyancy force, and anabatic flow develops over the ice sheet in the afternoon. When the large-scare wind is moderate and downslope, the pilling up of cold air is important and this has a dramatic impact on the flow. A sharp spatial transition is generated between downslope and upslope winds over the ocean. This discontinuity moves toward the ice sheet interior in the morning and is responsible for the sudden cessation of the katabatic flow seen by static observers. The results of the simulations are used in order to refine a simple parameterization of Antarctic katabatic winds.</t>
  </si>
  <si>
    <t>Univ Catholique Louvain, Inst Astron &amp; Geophys G Lemaitre, B-1348 Louvain, Belgium; Ctr Natl Rech Meteorol, Toulouse, France</t>
  </si>
  <si>
    <t>Universite Catholique Louvain</t>
  </si>
  <si>
    <t>Gallee, H (corresponding author), Univ Catholique Louvain, Inst Astron &amp; Geophys G Lemaitre, Chemin Cyclotron 2, B-1348 Louvain, Belgium.</t>
  </si>
  <si>
    <t>0022-4928</t>
  </si>
  <si>
    <t>J ATMOS SCI</t>
  </si>
  <si>
    <t>J. Atmos. Sci.</t>
  </si>
  <si>
    <t>10.1175/1520-0469(1998)055&lt;1755:DCOKWC&gt;2.0.CO;2</t>
  </si>
  <si>
    <t>ZN646</t>
  </si>
  <si>
    <t>WOS:000073667500002</t>
  </si>
  <si>
    <t>Siegert, MJ; Ridley, JK</t>
  </si>
  <si>
    <t>An analysis of the ice-sheet surface and subsurface topography above the Vostok Station subglacial lake, central East Antarctica</t>
  </si>
  <si>
    <t>ERS-1 RADAR ALTIMETER</t>
  </si>
  <si>
    <t>Radio-echo sounding (RES) and satellite radar-altimeter data were analyzed in order to identify the surface and subsurface topography around the largest known subglacial lake, at Vostok Station, East Antarctica (named here as Lake Vostok). In doing so, a data set was established from which a qualitative description of the flow of ice across the lake was developed. Patterns of ice flow were constructed through consideration of (1) the ice-sheet surface from the satellite altimeter and (2) internal layering from RES. It is concluded that Lake Vostok influences the dynamics of the overriding ice. Specifically, although the flow of ice across the lake is dominated by the general eastward flow of the grounded ice sheet, a southward velocity component, caused by an ice-shelf-type ice-flow mechanism, is also present over the subglacial lake. A further 67 smaller subglacial lakes exist within central regions of the Antarctic Ice Sheet, occupying 5-10% of the ice-sheet base. Subglacial lakes may therefore exert a significant control on ice dynamics within central Antarctica.</t>
  </si>
  <si>
    <t>Univ Wales, Inst Geog &amp; Earth Sci, Ctr Glaciol, Aberystwyth SY23 3DB, Ceredigion, Wales; UCL, Mullard Space Sci Lab, Dorking RH5 6NT, Surrey, England</t>
  </si>
  <si>
    <t>Aberystwyth University; University of London; University College London</t>
  </si>
  <si>
    <t>Univ Wales, Inst Geog &amp; Earth Sci, Ctr Glaciol, Aberystwyth SY23 3DB, Ceredigion, Wales.</t>
  </si>
  <si>
    <t>martin.siegert@aber.ac.uk; jkridley@meto.gov.uk</t>
  </si>
  <si>
    <t>Siegert, Martin/M-9939-2019; Siegert, Martin J/A-3826-2008</t>
  </si>
  <si>
    <t>Siegert, Martin/0000-0002-0090-4806; Siegert, Martin J/0000-0002-0090-4806</t>
  </si>
  <si>
    <t>MAY 10</t>
  </si>
  <si>
    <t>B5</t>
  </si>
  <si>
    <t>10.1029/98JB00390</t>
  </si>
  <si>
    <t>ZM406</t>
  </si>
  <si>
    <t>WOS:000073536500041</t>
  </si>
  <si>
    <t>Ingham, T; Bauer, D; Landgraf, J; Crowley, JN</t>
  </si>
  <si>
    <t>Ultraviolet-visible absorption cross sections of gaseous HOBr</t>
  </si>
  <si>
    <t>ANTARCTIC OZONE; BROMINE; PHOTOLYSIS; SPECTRA; HOCL; BR2O; OH; CHLORINE; KINETICS; YIELDS</t>
  </si>
  <si>
    <t>The UV-visible absorption cross sections for HOBr between 260 and 545 nm have been measured at 295 K in either 80 or 300 Torr of He bath gas. HOBr was generated in situ by laser photolytic production of OH radicals in the presence of Br-2, and its absorption of light was detected using both a gated diode array camera (220 nm windows) and a photomultiplier, Calibration was performed relative to Br-2 loss. The UV-visible spectrum of HOBr consists of three broad absorption bands between about 240 and 550 nm, with lambda(max) at 284 nm (sigma = (25.0 +/- 1.2) x 10(-20) cm(2)), 351 nm (sigma = (12.4 +/- 0.6) x 10(-20) cm(2)), and 457 nm (sigma = (2.3 +/- 0.2) x 10(-20) cm(2)). The existence of the third, long-wavelength absorption band has been confirmed unambiguously in this work. J-value calculations show that absorption into the third band is responsible for up to 50% of the total photolysis rate at high zenith angles close to the surface and at least 25% at all other altitudes and zenith angles down to 40 degrees. At this zenith angle the total J value ranges from 3.2 x 10(-3) s(-1) at 15 km to 2.2 x 10(-3) s(-1) at the surface, corresponding to lifetimes of 5.2 and 7.6 min, respectively.</t>
  </si>
  <si>
    <t>Max Planck Inst Chem, Div Atmospher Chem, D-55020 Mainz, Germany</t>
  </si>
  <si>
    <t>Crowley, JN (corresponding author), Max Planck Inst Chem, Div Atmospher Chem, POB 3060, D-55020 Mainz, Germany.</t>
  </si>
  <si>
    <t>MAY 7</t>
  </si>
  <si>
    <t>10.1021/jp980272c</t>
  </si>
  <si>
    <t>ZP699</t>
  </si>
  <si>
    <t>WOS:000073779600011</t>
  </si>
  <si>
    <t>Feary, DA; James, NP</t>
  </si>
  <si>
    <t>Seismic stratigraphy and geological evolution of the Cenozoic, cool-water Eucla platform, Great Australian Bight</t>
  </si>
  <si>
    <t>SOUTHERN AUSTRALIA; WEST FLORIDA; CARBONATE PLATFORMS; BARRIER-REEF; SEA-LEVEL; MARGIN; SHELF; OCEAN; BASIN; ENVIRONMENTS</t>
  </si>
  <si>
    <t>Seismic images of the continental margin in the western Great Australian Eight reveal the internal anatomy of a long-lived Cenozoic cool-water carbonate shelf. The Cenozoic succession is divisible into seven seismic sequences that reflect four depositional phases. Phase A (Paleocene-middle Eocene) is a progradational siliciclastic wedge deposited in a depositional sag, and represents lowstand and transgressive sedimentation. Phase B (middle Eocene-earliest middle Miocene) contains cool-water ramp carbonates with biogenic mounds (Eocene-Oligocene), overlain by a warm-water flat-topped platform rimmed by the early middle Miocene(?) Little Barrier Reef. Coeval deep-water carbonate deposition formed a multi-lobed sediment apron. This phase cs as terminated by gentle uplift and tilting throughout southern Australia in the late middle Miocene. Phase C (late Miocene-early Pliocene) represents cool-water lowstand wedge and ramp deposition, and contains numerous biogenic mounds in the youngest sequence. This phase is terminated by an unconformity attributed to marine erosion. Phase D (Pliocene-Quaternary) is a thick succession of cool-water carbonates with spectacular clinoform ramp geometry that forms most of the modern outer shelf? and contains large deep-water biogenic mounds. This platform, the first large cool-water carbonate shelf imaged by high-quality seismic reflection data, demonstrates the interaction between regional tectonic and local and global paleo-oceanographic processes. As Australia drifted northward during the Cenozoic, the Great Australian Eight moved from high to middle latitudes, and the regional oceanographic regime remained cool water largely because of coeval development of the Antarctic Circumpolar Current in the evolving Southern Ocean. Short episodes of warm-water deposition probably reflect incursions of a proto-Leeuwin current from the Indian Ocean, whereas growth of the Miocene coral-algal Little Barrier Reef resulted from a short-term global increase in sea-surface temperatures. This platform, dominated by stacked carbonate ramps, is most similar to the West Florida Shelf, but contains many more biogenic mounds. The western Great Australian Eight carbonate platform is an excellent modern analog for the mesoscale structure of cool-water platforms in the older geologic record.</t>
  </si>
  <si>
    <t>Australian Geol Survey Org, Canberra, ACT 2601, Australia; Queens Univ, Dept Geol Sci, Kingston, ON K7L 3N6, Canada</t>
  </si>
  <si>
    <t>Geoscience Australia; Queens University - Canada</t>
  </si>
  <si>
    <t>Feary, DA (corresponding author), Australian Geol Survey Org, GPO Box 378, Canberra, ACT 2601, Australia.</t>
  </si>
  <si>
    <t>Feary, David/ABE-6273-2020</t>
  </si>
  <si>
    <t>MAY</t>
  </si>
  <si>
    <t>ZM900</t>
  </si>
  <si>
    <t>WOS:000073587600005</t>
  </si>
  <si>
    <t>Vernon, P; Vannier, G; Trehen, P</t>
  </si>
  <si>
    <t>A comparative approach to the entomological diversity of polar regions</t>
  </si>
  <si>
    <t>ACTA OECOLOGICA-INTERNATIONAL JOURNAL OF ECOLOGY</t>
  </si>
  <si>
    <t>Arctic; Antarctic; biodiversity; biogeography; insects</t>
  </si>
  <si>
    <t>INSECT COLD-HARDINESS; ORIBATID MITES ACARI; ENVIRONMENTAL-CHANGE; SOUTH-GEORGIA; PATTERNS; ISLANDS; CURCULIONIDAE; COLEOPTERA; CHIRONOMIDAE; INDICATORS</t>
  </si>
  <si>
    <t>The Arctic and Antarctic are both cold deserts but show contrasting geographic and climatic features. Marked differences are notice able in the richness of insect communities at these high latitudes. In the north, a continuous terrestrial gradient links sub-Arctic and Arctic regions, while in the south, the Southern Ocean is an efficient barrier between the sub-Antarctic and the Antarctic. In spite of stressful environmental conditions, insects are present but species richness is poor. Functional diversity is subordinate to these constrained features. However, ecological and physiological adaptations are varied and generally show no taxonomic pattern. On sub-Antarctic islands, the recent increase in human activities has precipitated a dramatic increase in entomological diversity. In the Arctic, the spectacular underrepresentation of the Exopterygota cannot be explained only by biogeographic criteria. An ecophysiological interpretation is suggested and leads to an evolutionary hypothesis of entomoiogical biodiversity in polar regions. (C) Elsevier, Paris.</t>
  </si>
  <si>
    <t>Univ Rennes 1, Biol Stn, CNRS, UMR 6553, F-35380 Paimpont, France; Museum Natl Hist Nat, Lab Ecol Gen, CNRS, URA 1183, F-91800 Brunoy, France</t>
  </si>
  <si>
    <t>Universite de Rennes; Centre National de la Recherche Scientifique (CNRS); CNRS - Institute of Ecology &amp; Environment (INEE); Centre National de la Recherche Scientifique (CNRS); Museum National d'Histoire Naturelle (MNHN)</t>
  </si>
  <si>
    <t>Univ Rennes 1, Biol Stn, CNRS, UMR 6553, F-35380 Paimpont, France.</t>
  </si>
  <si>
    <t>1146-609X</t>
  </si>
  <si>
    <t>1873-6238</t>
  </si>
  <si>
    <t>ACTA OECOL</t>
  </si>
  <si>
    <t>Acta Oecol.-Int. J. Ecol.</t>
  </si>
  <si>
    <t>MAY-JUN</t>
  </si>
  <si>
    <t>10.1016/S1146-609X(98)80034-9</t>
  </si>
  <si>
    <t>107TU</t>
  </si>
  <si>
    <t>WOS:000075226700012</t>
  </si>
  <si>
    <t>McClintock, JB; Baker, BJ</t>
  </si>
  <si>
    <t>Chemical ecology in Antarctic seas</t>
  </si>
  <si>
    <t>AMERICAN SCIENTIST</t>
  </si>
  <si>
    <t>PTEROPOD CLIONE ANTARCTICA; ENERGETIC COMPOSITION; DEFENSE; SPONGES; PTEROENONE; TOXICITY; SOUND</t>
  </si>
  <si>
    <t>Univ Alabama, Dept Biol, Birmingham, AL 35294 USA; Florida Inst Technol, Melbourne, FL 32901 USA</t>
  </si>
  <si>
    <t>McClintock, JB (corresponding author), Univ Alabama, Dept Biol, Birmingham, AL 35294 USA.</t>
  </si>
  <si>
    <t>mcclinto@uab.edu</t>
  </si>
  <si>
    <t>SIGMA XI-SCI RES SOC</t>
  </si>
  <si>
    <t>RES TRIANGLE PK</t>
  </si>
  <si>
    <t>PO BOX 13975, RES TRIANGLE PK, NC 27709 USA</t>
  </si>
  <si>
    <t>0003-0996</t>
  </si>
  <si>
    <t>AM SCI</t>
  </si>
  <si>
    <t>Am. Scientist</t>
  </si>
  <si>
    <t>10.1511/1998.25.825</t>
  </si>
  <si>
    <t>ZJ372</t>
  </si>
  <si>
    <t>WOS:000073208000019</t>
  </si>
  <si>
    <t>Adams, FC; Heisterkamp, M; Candelone, JP; Laturnus, F; van de Velde, K; Boutron, CF</t>
  </si>
  <si>
    <t>Speciation of organometal and organohalogen compounds in relation to global environmental pollution</t>
  </si>
  <si>
    <t>ANALYST</t>
  </si>
  <si>
    <t>3rd International Symposium on Speciation of Trace Elements in Biological, Environmental and Toxicological Sciences</t>
  </si>
  <si>
    <t>SEP 15-19, 1997</t>
  </si>
  <si>
    <t>PORT DOUGLAS, AUSTRALIA</t>
  </si>
  <si>
    <t>organolead compounds; volatile organohalogen compounds; speciation; polar snow; macroalgae; Antarctic; environmental pollution</t>
  </si>
  <si>
    <t>HALOGENATED ORGANIC-COMPOUNDS; AEROSOL SAMPLING PROGRAM; KING-GEORGE-ISLAND; GREENLAND SNOW; ASCOPHYLLUM-NODOSUM; OZONE DEPLETION; METHYL-BROMIDE; POTTER COVE; DYE-3 GAS; MACROALGAE</t>
  </si>
  <si>
    <t>Speciation of the elements emitted into the atmosphere plays an important role in their long range transport over the globe and their eventual pollution of remote environments. This paper describes recent results of our laboratory in: (1) organolead determinations in archives of snow and ice in Greenland and the Mont Blanc region in Western Europe. Speciation analysis together with the determination of total inorganic lead gives a clear indication on the extent of global pollution when compounds are transported over long distances in the atmosphere; and (2) determinations of volatile halocarbons in macroalgae whose transport in the stratosphere could interfere with the ozone destruction process. It is shown that the analytical methodology for the determination of a number of species is now well enough developed to allow ultra-sensitive and reliable measurements in samples collected in the remote environment and to derive interesting conclusions on long range transport processes.</t>
  </si>
  <si>
    <t>Univ Instelling Antwerp, Dept Chem, B-2610 Wilrijk, Belgium; CNRS, Lab Glaciol &amp; Geophys Environm, F-38402 St Martin Dheres, France</t>
  </si>
  <si>
    <t>University of Antwerp; Centre National de la Recherche Scientifique (CNRS)</t>
  </si>
  <si>
    <t>Adams, FC (corresponding author), Univ Instelling Antwerp, Dept Chem, Univ Pl 1, B-2610 Wilrijk, Belgium.</t>
  </si>
  <si>
    <t>ROYAL SOC CHEMISTRY</t>
  </si>
  <si>
    <t>THOMAS GRAHAM HOUSE, SCIENCE PARK, MILTON ROAD, CAMBRIDGE CB4 4WF, CAMBS, ENGLAND</t>
  </si>
  <si>
    <t>0003-2654</t>
  </si>
  <si>
    <t>Analyst</t>
  </si>
  <si>
    <t>10.1039/a707185j</t>
  </si>
  <si>
    <t>ZN568</t>
  </si>
  <si>
    <t>WOS:000073658900002</t>
  </si>
  <si>
    <t>Carballeira, A; Diaz, S; Vazquez, MD; Lopez, J</t>
  </si>
  <si>
    <t>Inertia and resilience in the responses of the aquatic bryophyte Fontinalis antipyretica Hedw to thermal stress</t>
  </si>
  <si>
    <t>ARCHIVES OF ENVIRONMENTAL CONTAMINATION AND TOXICOLOGY</t>
  </si>
  <si>
    <t>PRODUCTION ECOLOGY; INORGANIC CARBON; ANTARCTIC LAKES; BENTHIC PLANTS; HEAVY-METALS; PHOTOSYNTHESIS; RESPIRATION; TEMPERATURE; MOSSES; POLLUTION</t>
  </si>
  <si>
    <t>The physiological responses of the aquatic bryophyte Fontinalis antipyretica Hedw. to high temperatures, ranging from 16 degrees C (control) to 34 degrees C, were investigated experimentally. Plant samples were maintained at the temperature under study for up to 25 days with regular determination of physiological variables (pigment ratio and photosynthetic and respiratory rates). Physiological responses to temperature did not differ significantly between mosses collected from a normal river site and from a river site with abnormally high temperature due to input from a hot spring. Simple curve-fitting procedures and summary statistics analogous to those used in toxicological research were employed to compare responses as revealed by the different physiological variables. In a second series of experiments, the capacity of F. antipyretica to recover from high-temperature stress was investigated by maintaining samples at 30 degrees C for 2, 4, or 10 days, then transferring the samples to normal conditions (16 degrees C) for 40 days. Physiological variables were again monitored at regular intervals throughout both phases of the experiment. In general, good recovery was observed even after exposure to high temperatures for 10 days. The results of these assays allow quantification of the relationship between a pigment ratio and net photosynthesis rate.</t>
  </si>
  <si>
    <t>Univ Vigo, Fac Ciencias, Vigo 36200, Spain; Univ Santiago de Compostela, Fac Biol, Santiago De Compostela 15706, Spain</t>
  </si>
  <si>
    <t>Universidade de Vigo; Universidade de Santiago de Compostela</t>
  </si>
  <si>
    <t>Lopez, J (corresponding author), Univ Vigo, Fac Ciencias, Vigo 36200, Spain.</t>
  </si>
  <si>
    <t>Lopez Perez, Jesus/R-1158-2018; Vazquez Castro, Maria Dolores/L-2012-2014</t>
  </si>
  <si>
    <t>Lopez Perez, Jesus/0000-0002-8214-5259; Vazquez Castro, Maria Dolores/0000-0003-2715-5312; Carballeira Ocana, Alejo/0000-0002-5250-4185</t>
  </si>
  <si>
    <t>0090-4341</t>
  </si>
  <si>
    <t>ARCH ENVIRON CON TOX</t>
  </si>
  <si>
    <t>Arch. Environ. Contam. Toxicol.</t>
  </si>
  <si>
    <t>10.1007/s002449900328</t>
  </si>
  <si>
    <t>Environmental Sciences; Toxicology</t>
  </si>
  <si>
    <t>ZE977</t>
  </si>
  <si>
    <t>WOS:000072850500005</t>
  </si>
  <si>
    <t>Powers, LE; Ho, MC; Freckman, DW; Virginia, RA</t>
  </si>
  <si>
    <t>Distribution, community structure, and microhabitats of soil invertebrates along an elevational gradient in Taylor Valley, Antarctica</t>
  </si>
  <si>
    <t>COLD-HARDINESS; DESERT SOILS; NEMATODES; WATER</t>
  </si>
  <si>
    <t>Soils in the Antarctic Dry Valleys have been significantly influenced by soil formation factors such as parent material, climate, and topography. Factors common in more temperate zones, including chemical weathering and leaching of minerals, occur to a much lesser extent in these cold arid soils, leading to an accumulation of salts and bases, which will likely affect the distribution of soil biota. Since the intensity of these factors may vary with topography, this study examined the soil properties and soil invertebrate communities along an elevational gradient in Taylor Valley, Antarctica. We sampled from two spatial scales (1 X 1 m and 10 X 10 m) at three sites (83, 121, and 188 m a.s.l) on the south side of Lake Hoare in Taylor Valley, and examined soil moisture, nitrogen, carbon, pH, and electrical conductivity (which provides an estimation of soil salinity), as well as the distribution and community structure of soil invertebrates. We found significant differences in soil properties with elevation, along with associated differences in soil communities. Biodiversity was greatest at the lowest elevation, closest to the shore of Lake Hoare, where soil moisture, carbon, and nitrogen were highest, and salinity was lowest. Scottnema lindsayae dominated the nematode communities found at all sites. Electrical conductivity was higher and carbon and nitrogen contents were lower at the upper elevations. The distribution of both Eudorylaimus and Plectus appeared to be influenced by soil moisture; electrical conductivity affected the mortality of all three nematode genera found. Soil properties did differ with sampling scale, suggesting that changes in microhabitats not detected at sampling intervals of a meter or more may be more reliably detected by sampling at a smaller scale.</t>
  </si>
  <si>
    <t>Eastern Mennonite Univ, Dept Biol, Harrisonburg, VA 22802 USA; Harvard Univ, Sch Publ Hlth, Boston, MA 02115 USA; Colorado State Univ, Nat Resource Ecol Lab, Ft Collins, CO 80523 USA; Dartmouth Coll, Environm Studies Program, Hanover, NH 03755 USA</t>
  </si>
  <si>
    <t>Harvard University; Harvard T.H. Chan School of Public Health; Colorado State University; Dartmouth College</t>
  </si>
  <si>
    <t>Eastern Mennonite Univ, Dept Biol, Harrisonburg, VA 22802 USA.</t>
  </si>
  <si>
    <t>powersle@emu.edu</t>
  </si>
  <si>
    <t>Ho, Mengchi/AAF-9853-2021; Wall, Diana H/F-5491-2011</t>
  </si>
  <si>
    <t>HO, MENGCHI/0000-0001-6876-9666</t>
  </si>
  <si>
    <t>10.2307/1552128</t>
  </si>
  <si>
    <t>ZR223</t>
  </si>
  <si>
    <t>WOS:000073952600005</t>
  </si>
  <si>
    <t>Ikegawa, M; Kimura, M; Makita, K; Itokawa, Y</t>
  </si>
  <si>
    <t>Psychological studies of a Japanese winter-over group at Asuka Station, Antarctica</t>
  </si>
  <si>
    <t>AVIATION SPACE AND ENVIRONMENTAL MEDICINE</t>
  </si>
  <si>
    <t>ENVIRONMENTS; ANXIETY; STRESS; SCALE; LIFE</t>
  </si>
  <si>
    <t>In order to understand the psychological effects of Antarctic isolation and confinement on Japanese expeditioners, psychological studies were done on eight members of a wintering-over party at Asuka Station between December 1990 and February 1992. Mean age of the subjects was 34.8 +/- 5.56 yr. The study includes self assessment questionnaires, psychological tests introduced by the Polar Psychology Project (PPP), a bibliographycal study and photographic measurements. There was no pathological depression in midwinter. Subjective and cumulative fatigue symptoms were more noticiable in the older individuals. The Telic Dominance Scale was significantly correlated with the Anxiety Sensitivity Index. The Sense of Coherence Inventory and the Personal View Survey showed an interrating correlation. By analyzing a daily group photograph, seasonal variations in mood and behavior of individuals have been clarified. Consequently, it is hoped that observation of non-verbal signals such as facial expression, clothing, and postures may lead to the development of a new methodological framework for the long-term plan of psychological investigation of the men under severe stress.</t>
  </si>
  <si>
    <t>Kyoto Univ, Grad Sch Med, Dept Social &amp; Prevent Med, Kyoto 60601, Japan; Takushoku Univ, Fac Engn, Tokyo, Japan; Kyoto Univ, Grad Sch Med, Dept Int Hlth, Kyoto 606, Japan</t>
  </si>
  <si>
    <t>Kyoto University; Kyoto University</t>
  </si>
  <si>
    <t>Ikegawa, M (corresponding author), Kyoto Univ, Grad Sch Med, Dept Social &amp; Prevent Med, Yoshida Konoe Cho, Kyoto 60601, Japan.</t>
  </si>
  <si>
    <t>AEROSPACE MEDICAL ASSOC</t>
  </si>
  <si>
    <t>ALEXANDRIA</t>
  </si>
  <si>
    <t>320 S HENRY ST, ALEXANDRIA, VA 22314-3579 USA</t>
  </si>
  <si>
    <t>0095-6562</t>
  </si>
  <si>
    <t>AVIAT SPACE ENVIR MD</t>
  </si>
  <si>
    <t>Aviat. Space Environ. Med.</t>
  </si>
  <si>
    <t>Public, Environmental &amp; Occupational Health; Medicine, General &amp; Internal; Sport Sciences</t>
  </si>
  <si>
    <t>Public, Environmental &amp; Occupational Health; General &amp; Internal Medicine; Sport Sciences</t>
  </si>
  <si>
    <t>ZK121</t>
  </si>
  <si>
    <t>WOS:000073287400003</t>
  </si>
  <si>
    <t>Horne, JK; Clay, CS</t>
  </si>
  <si>
    <t>Sonar systems and aquatic organisms: matching equipment and model parameters</t>
  </si>
  <si>
    <t>CANADIAN JOURNAL OF FISHERIES AND AQUATIC SCIENCES</t>
  </si>
  <si>
    <t>ACOUSTIC SCATTERING; SOUND-SCATTERING; TARGET STRENGTH; ZOOPLANKTON DISTRIBUTIONS; FILLED CYLINDERS; ANTARCTIC KRILL; FINITE LENGTH; LIVE FISH; BACKSCATTERING; CLASSIFICATION</t>
  </si>
  <si>
    <t>Acoustic technology is an accepted and important component of aquatic research and resource management. Despite the widespread use of echosounders, few guidelines aid in the choice of appropriate sonar system parameters for acoustic surveys. Choice of acoustic carrier frequency is analogous to the choice of spotlight colour used to illuminate a painting. Three primary biological factors influence the scattering of sound by aquatic organisms: swimbladder presence, organism length. and organism behaviour. We illustrate the influence of these factors on the amplitude of backscattered echoes using a Kirchhoff-ray mode scattering model to quantify fish and zooplankton backscatter as a function of carrier frequency, fish length, and swimbladder aspect. Model results illustrate that echo amplitudes from aquatic organisms are largely dependent on the presence or absence of a swimbladder. Target strengths generally increase with increasing carrier frequency and organism length. Swimbladder angle relative to the incident sound wave affects scattering amplitudes at all frequencies. Measurements of backscatter from swimbladdered fish are relatively robust when the ratio of fish length to acoustic frequency wavelength ranges between 2 and 10. As fish length to frequency wavelength ratios increase, echo amplitudes become more dependent on aspect and peak when the swimbladder is perpendicular to the acoustic wavefront.</t>
  </si>
  <si>
    <t>SUNY Coll Buffalo, Great Lakes Ctr, Buffalo, NY 14222 USA; Univ Wisconsin, Dept Geol &amp; Geophys, Madison, WI 53706 USA</t>
  </si>
  <si>
    <t>State University of New York (SUNY) System; Buffalo State College; University of Wisconsin System; University of Wisconsin Madison</t>
  </si>
  <si>
    <t>Horne, JK (corresponding author), Cooperat Inst Limnol &amp; Ecosyst Res, 2205 Commonwealth Blvd, Ann Arbor, MI 48105 USA.</t>
  </si>
  <si>
    <t>horne@glerl.nooa.gov</t>
  </si>
  <si>
    <t>Horne, John/0000-0002-3610-5379</t>
  </si>
  <si>
    <t>NATL RESEARCH COUNCIL CANADA</t>
  </si>
  <si>
    <t>RESEARCH JOURNALS, MONTREAL RD, OTTAWA, ONTARIO K1A 0R6, CANADA</t>
  </si>
  <si>
    <t>0706-652X</t>
  </si>
  <si>
    <t>CAN J FISH AQUAT SCI</t>
  </si>
  <si>
    <t>Can. J. Fish. Aquat. Sci.</t>
  </si>
  <si>
    <t>10.1139/cjfas-55-5-1296</t>
  </si>
  <si>
    <t>117NB</t>
  </si>
  <si>
    <t>WOS:000075787000025</t>
  </si>
  <si>
    <t>Gong, DY; Wang, SW</t>
  </si>
  <si>
    <t>Antarctic oscillation: concept and applications</t>
  </si>
  <si>
    <t>Antarctic oscillation; air temperature; precipitation</t>
  </si>
  <si>
    <t>SOUTHERN</t>
  </si>
  <si>
    <t>Based on the NCEP/NCAR reanalysis data set, empirical orthogonal function analysis and correlation analysis have been carried out. Antarctic oscillation index (AOI) is defined as the difference between the zonal-mean monthly sea level pressure departures of 40 degrees S and 65 degrees S. Regional surface temperature and precipitation over the extratropical Southern Hemisphere have a close relationship with AOI.</t>
  </si>
  <si>
    <t>Peking Univ, Dept Geophys, Beijing 100871, Peoples R China</t>
  </si>
  <si>
    <t>Gong, DY (corresponding author), Peking Univ, Dept Geophys, Beijing 100871, Peoples R China.</t>
  </si>
  <si>
    <t>10.1007/BF02898949</t>
  </si>
  <si>
    <t>ZX144</t>
  </si>
  <si>
    <t>WOS:000074483800009</t>
  </si>
  <si>
    <t>Maqueda, MAM; Willmott, AJ; Bamber, JL; Darby, MS</t>
  </si>
  <si>
    <t>An investigation of the small ice cap instability in the Southern Hemisphere with a coupled atmosphere sea ice ocean terrestrial ice model</t>
  </si>
  <si>
    <t>ABRUPT CLIMATE-CHANGE; SHEET MODEL; SNOWLINE INSTABILITY; ASTRONOMICAL THEORY; AGES; GLACIATION; CYCLE; CORE; RECORD; KYR</t>
  </si>
  <si>
    <t>A simple climate model has been developed to investigate the existence of the small ice cap instability in the Southern Hemisphere. The model consists of four coupled components: an atmospheric energy balance model, a thermodynamic snow-sea ice model, an oceanic mixed layer model and a terrestrial ice model. Results from a series of experiments involving different degrees of coupling in the model show that the instability appears only in those cases when an explicit representation of the Antarctic ice sheet is not included in the model. In order to determine which physical processes in the ice sheet model lead to a stabilization of the system we have conducted several sensitivity experiments in each of which a given ice sheet process has been removed from the control formulation of the model. Results from these experiments suggest that the feedback between the elevation of the ice sheet and the snow accumulation-ice ablation balance is responsible for the disappearance of the small ice cap instability in our simulation. In the model, the mass balance of the ice sheet depends on the air temperature at sea level corrected for altitude and it is, therefore, a function of surface elevation. This altitude-mass balance feedback effectively decouples the location of the ice edge from any specific sea level isotherm, thus decreasing the model sensitivity to the albedo-temperature feedback, which is responsible for the appearance of the instability. It is also shown that the elevation-radiative cooling feedback tends to stabilize the ice sheet, although its effect does not seem to be strong enough to remove the instability. Another interesting result is that for those simulations which include the terrestrial ice model with elevation-dependent surface mass balance, hysteresis is exhibited, where for a given level of external forcing, two stable solutions with different, non-zero ice-sheet volume and area and different air and ocean temperature fields occur. However, no unstable transition between the two solutions is ever observed. Our results suggest that the small ice cap instability mechanism could be unsuitable for explaining the inception of glaciation in Antarctica.</t>
  </si>
  <si>
    <t>Univ Keele, Dept Math, Keele ST5 5BG, Staffs, England; Univ Bristol, Dept Geog, Ctr Remote Sensing, Bristol BS8 1SS, Avon, England; Univ Exeter, Dept Math, Exeter EX4 4QE, Devon, England</t>
  </si>
  <si>
    <t>Keele University; University of Bristol; University of Exeter</t>
  </si>
  <si>
    <t>Maqueda, MAM (corresponding author), Univ Keele, Dept Math, Keele ST5 5BG, Staffs, England.</t>
  </si>
  <si>
    <t>Maqueda, Miguel Angel Morales/AAJ-8138-2020; Bamber, Jonathan/C-7608-2011</t>
  </si>
  <si>
    <t>Bamber, Jonathan/0000-0002-2280-2819</t>
  </si>
  <si>
    <t>10.1007/s003820050227</t>
  </si>
  <si>
    <t>ZN142</t>
  </si>
  <si>
    <t>WOS:000073614100002</t>
  </si>
  <si>
    <t>Blume, HP; Beyer, L; Schneider, D</t>
  </si>
  <si>
    <t>Soils of the Southern Circumpolar Region and their classification</t>
  </si>
  <si>
    <t>EURASIAN SOIL SCIENCE</t>
  </si>
  <si>
    <t>The results of recent soil studies in the southern circumpolar region are discussed. The development of podzolic soils in the coastal Antarctic region is described. The applicability of different classification systems (FAO-Unesco Soil Map of the World, WRB, ICOMPAS) for soil correlation in the Antarctic is considered).</t>
  </si>
  <si>
    <t>Univ Kiel, Inst Plant Nutr &amp; Soil Sci, D-24098 Kiel, Germany</t>
  </si>
  <si>
    <t>Blume, HP (corresponding author), Univ Kiel, Inst Plant Nutr &amp; Soil Sci, D-24098 Kiel, Germany.</t>
  </si>
  <si>
    <t>1064-2293</t>
  </si>
  <si>
    <t>EURASIAN SOIL SCI+</t>
  </si>
  <si>
    <t>Eurasian Soil Sci.</t>
  </si>
  <si>
    <t>ZP082</t>
  </si>
  <si>
    <t>WOS:000073714700002</t>
  </si>
  <si>
    <t>Campbell, IB; Claridge, GGC; Campbell, DI; Balks, MR</t>
  </si>
  <si>
    <t>Soil temperature and moisture properties of cryosols of the Antarctic cold desert</t>
  </si>
  <si>
    <t>Soil temperature records in the MacMurdo Sound region of Antarctica supported the subdivision of the territory into five climatic zones: the coastal fringe, the inland valley floors, the valley sides, and the plateau fringe. Surface albedo proved to be the major factor influencing the climatic regime of Antarctic soils.</t>
  </si>
  <si>
    <t>Land &amp; Soil Consultancy Serv, Nelson, New Zealand; Univ Waikato, Hamilton, New Zealand</t>
  </si>
  <si>
    <t>University of Waikato</t>
  </si>
  <si>
    <t>Land &amp; Soil Consultancy Serv, 23 View Mt, Nelson, New Zealand.</t>
  </si>
  <si>
    <t>Campbell, Dave I/F-2786-2011</t>
  </si>
  <si>
    <t>PLEIADES PUBLISHING INC</t>
  </si>
  <si>
    <t>PLEIADES HOUSE, 7 W 54 ST, NEW YORK, NY, UNITED STATES</t>
  </si>
  <si>
    <t>1556-195X</t>
  </si>
  <si>
    <t>WOS:000073714700010</t>
  </si>
  <si>
    <t>Vyverman, W; Sabbe, K; Mann, DG; Kilroy, C; Vyverman, R; Vanhoutte, K; Hodgson, D</t>
  </si>
  <si>
    <t>Eunophora gen. nov. (Bacillariophyta) from Tasmania and New Zealand: description and comparison with Eunotia and amphoroid diatoms</t>
  </si>
  <si>
    <t>EUROPEAN JOURNAL OF PHYCOLOGY</t>
  </si>
  <si>
    <t>biogeography; Bacillariophyta; phylogeny; Tasmania; taxonomy</t>
  </si>
  <si>
    <t>SYSTEMATICS</t>
  </si>
  <si>
    <t>A new raphid pennate diatom genus, Eunophora, and three new species are described from highland lakes and streams in Tasmania and New Zealand. Eunophora tasmanica and E. indistincta are only found in Tasmania; E. oberonica and a fourth species (Eunophora sp. I) also occur in New Zealand. The presence of polar rimoportulae in E. tasmanica and E. oberonica, the relatively simple structure and arrangement of the raphe system and the shia pattern indicate that Eunophora belongs to the subclass Eunotiophycidae. However, it differs from the other genera in this subclass in the amphoroid symmetry of the cells, the length of the raphe slits and the non-coaxial internal central raphe endings; also unusual are the position of the raphe on the valve face instead of on the ventral mantle and the presence of many small discoid or band-like chloroplasts. Eunophora may represent a link between the Eunotiophycidae and the amphoroid genera of the Bacillariophycidae. Eunophora is characteristic of dystrophic to (ultra-)oligotrophic lakes and appears to be restricted to the Southern Hemisphere. The four species display a characteristic distribution in Tasmania: Eunophora tasmanica is common and widespread in all highland lakes, E. oberonica occurs mainly in the dystrophic western lakes, while E. indistincta and Eunophora sp. I were found mainly in intermediate lakes along the limnological corridor between the western dystrophic lakes and the eastern oligotrophic lakes.</t>
  </si>
  <si>
    <t>State Univ Ghent, Dept Biol, Sect Protistol &amp; Aquat Ecol, B-9000 Ghent, Belgium; Royal Bot Gardens, Edinburgh EH3 5LR, Midlothian, Scotland; Natl Inst Water &amp; Atmospher Res Ltd, Christchurch, New Zealand; British Antarctic Survey, Cambridge CB3 0ET, England</t>
  </si>
  <si>
    <t>Ghent University; Royal Botanic Gardens, Kew; National Institute of Water &amp; Atmospheric Research (NIWA) - New Zealand; UK Research &amp; Innovation (UKRI); Natural Environment Research Council (NERC); NERC British Antarctic Survey</t>
  </si>
  <si>
    <t>Vyverman, W (corresponding author), State Univ Ghent, Dept Biol, Sect Protistol &amp; Aquat Ecol, KL Ledeganckstaat 35, B-9000 Ghent, Belgium.</t>
  </si>
  <si>
    <t>Dasseville, Renaat/B-3561-2010; Mann, David G/I-9018-2014</t>
  </si>
  <si>
    <t>Mann, David G/0000-0003-0522-6802</t>
  </si>
  <si>
    <t>0967-0262</t>
  </si>
  <si>
    <t>EUR J PHYCOL</t>
  </si>
  <si>
    <t>Eur. J. Phycol.</t>
  </si>
  <si>
    <t>10.1080/09670269810001736593</t>
  </si>
  <si>
    <t>102KM</t>
  </si>
  <si>
    <t>WOS:000074923500001</t>
  </si>
  <si>
    <t>Coscia, MR; Oreste, U</t>
  </si>
  <si>
    <t>Presence of antibodies specific for proteins of Contracaecum osculatum (Rudolphi, 1908) in plasma of several Antarctic teleosts</t>
  </si>
  <si>
    <t>FISH &amp; SHELLFISH IMMUNOLOGY</t>
  </si>
  <si>
    <t>Antarctic fish; anti-parasite antibody; nematode antigen; Contracaecum osculatum; Chionodraco hamatus; immunoblotting</t>
  </si>
  <si>
    <t>TEMPERATURE-MEDIATED PROCESSES; ANGUILLA-ANGUILLA; CHANNEL CATFISH; IMMUNE-RESPONSE; NEMATODA; IMMUNOGLOBULIN; ASCARIDOIDEA; ANISAKIDAE; FISH</t>
  </si>
  <si>
    <t>The immunoglobulin fraction was purified from the plasma of an Antarctic teleost, Chionodraco hamatus (Lonnberg, 1906) by thiophilic adsorption chromatography and size-exclusion FPLC. Somatic proteins of Contracaecum osculatum larvae were recovered by boiling whole nematodes in phosphate buffer containing 2% SDS and 10% P-mercaptoethanol. Immunoglobulins from C. hamatus plasma recognised C. osculatum somatic antigens either blotted onto nitrocellulose or immobilised on a HiTrap NHS-activated column. The relative molecular mass of the major C. osculatum antigen was 91 kDa. Plasma from specimens of C. hamatus, Notothenia coriiceps (Richardson, 1844), Notothenia gibberifrons (Lonnberg, 1905), Chaenocephalus aceratus (Lonnberg, 1906), Pseudochaenichthys georgianus (Norman, 1937), Trematomus bernacchii (Boulenger, 1902) were tested in double immunodiffusion against C. osculatum proteins. Immunoprecipitates were observed with individual plasma of five out of six species. The results demonstrate the presence of nematode-specific antibodies in Antarctic fish plasma. (C) 1998 Academic Press Limited.</t>
  </si>
  <si>
    <t>Coscia, MR (corresponding author), CNR, Inst Prot Biochem &amp; Enzymol, Via Marconi 10, I-80125 Naples, Italy.</t>
  </si>
  <si>
    <t>Coscia, Maria Rosaria/AAU-1808-2021</t>
  </si>
  <si>
    <t>ACADEMIC PRESS LTD</t>
  </si>
  <si>
    <t>24-28 OVAL RD, LONDON NW1 7DX, ENGLAND</t>
  </si>
  <si>
    <t>1050-4648</t>
  </si>
  <si>
    <t>FISH SHELLFISH IMMUN</t>
  </si>
  <si>
    <t>Fish Shellfish Immunol.</t>
  </si>
  <si>
    <t>10.1006/fsim.1998.0140</t>
  </si>
  <si>
    <t>Fisheries; Immunology; Marine &amp; Freshwater Biology; Veterinary Sciences</t>
  </si>
  <si>
    <t>ZT092</t>
  </si>
  <si>
    <t>WOS:000074047600006</t>
  </si>
  <si>
    <t>Hagen, RA; Gohl, K; Gersonde, R; Kuhn, G; Volker, D; Kodagali, VN</t>
  </si>
  <si>
    <t>A geophysical survey of the De Gerlache seamounts: preliminary results</t>
  </si>
  <si>
    <t>TECTONIC HISTORY; PACIFIC; BATHYMETRY</t>
  </si>
  <si>
    <t>The De Gerlache Seamounts actually consist of two medium-sized guyots, with summits at depths of 350-600 m. Acoustic profiler data show no significant sediment on these guyots. Alkaline basalts dredged from the summit of the eastern guyot yield K/Ar ages between 20.1 +/- 1.0 and 23.2 +/- 1.2 Ma. Basement ridges and sediment-filled troughs between the guyots are associated with the prominent gravity anomaly extending north from the Antarctic margin. This structure possibly played a role in the guyot formation, however, the question of how the De Gerlache Seamounts are related to this gravity anomaly remains uncertain.</t>
  </si>
  <si>
    <t>USN, Res Lab, Washington, DC 20375 USA; Macquarie Univ, Sch Earth Sci, Sydney, NSW 2109, Australia; Alfred Wegener Inst Polar &amp; Marine Res, D-27515 Bremerhaven, Germany; Univ Bremen, Fachbereich Geowissensch, D-28359 Bremen, Germany; Natl Inst Oceanog, Dona Paula, Goa, India</t>
  </si>
  <si>
    <t>United States Department of Defense; United States Navy; Naval Research Laboratory; Macquarie University; Helmholtz Association; Alfred Wegener Institute, Helmholtz Centre for Polar &amp; Marine Research; University of Bremen; Council of Scientific &amp; Industrial Research (CSIR) - India; CSIR - National Institute of Oceanography (NIO)</t>
  </si>
  <si>
    <t>Hagen, RA (corresponding author), USN, Res Lab, Code 7420,4555 Overlook Ave SW, Washington, DC 20375 USA.</t>
  </si>
  <si>
    <t>Gohl, Karsten/0000-0002-9558-2116; Kuhn, Gerhard/0000-0001-6069-7485</t>
  </si>
  <si>
    <t>10.1007/s003670050047</t>
  </si>
  <si>
    <t>ZR247</t>
  </si>
  <si>
    <t>WOS:000073955000003</t>
  </si>
  <si>
    <t>Ito, T; Usui, A; Kajiwara, Y; Nakano, T</t>
  </si>
  <si>
    <t>Strontium isotopic compositions and paleoceanographic implication of fossil manganese nodules in DSDP/ODP cores, Leg 1-126</t>
  </si>
  <si>
    <t>FERROMANGANESE DEPOSITS; INTERSTITIAL WATERS; NORTH PACIFIC; SR-ISOTOPES; SEA-WATER; SEAWATER; OCEAN; CRUST; ND; NEOGENE</t>
  </si>
  <si>
    <t>Strontium isotopic compositions of acetic acid (HOAc) leachate fractions of eight manganese oxide deposits from the modern seafloor, and of twenty-one buried manganese nodules from Cretaceous to Recent sediments in DSDP/ODP cores were measured. Sr-87/Sr-86 ratios of HOAc leachates in all modern seafloor manganese oxides of various origins are identical with present seawater. The Sr-87/Sr-86 ratios of the HOAc leachates of buried nodules from DSDP/ODP cores are significantly lower than those of nodules from the modern seafloor and are mostly identical with coeval seawater values estimated from the age of associated sediments. It is suggested that the buried nodules in DSDP/ODP cores are not artifacts transported from the present seafloor during the drilling process, but are in situ fossil deposits from the past deep-sea floor during Cretaceous to Quaternary periods. The formation of deep-sea fossil nodules prior to the formation of Antarctic Bottom Water (AABW) indicates that the circulation of oxygenated deep seawaters have activately deposited manganese oxides since the Eocene Epoch, or earlier. Copyright (C) 1998 Elsevier Science Ltd.</t>
  </si>
  <si>
    <t>Univ Tsukuba, Inst Geosci, Tsukuba, Ibaraki 305, Japan; Geol Survey Japan, Dept Marine Geol, Tsukuba, Ibaraki 305, Japan</t>
  </si>
  <si>
    <t>Ito, T (corresponding author), Ibaraki Univ, Earth Sci Lab, Fac Educ, Mito, Ibaraki 310, Japan.</t>
  </si>
  <si>
    <t>tito@mito.ipc.ibaraki.ac.jp</t>
  </si>
  <si>
    <t>10.1016/S0016-7037(98)00051-9</t>
  </si>
  <si>
    <t>ZY050</t>
  </si>
  <si>
    <t>WOS:000074581600008</t>
  </si>
  <si>
    <t>Makarova, LN; Shirochkov, AV; Koptyaeva, KV</t>
  </si>
  <si>
    <t>Magnetopause of Earth magnetosphere as the element of a global electrical chain</t>
  </si>
  <si>
    <t>GEOMAGNETIZM I AERONOMIYA</t>
  </si>
  <si>
    <t>Makarova, LN (corresponding author), Arctic &amp; Antarctic Res Inst, St Petersburg 199226, Russia.</t>
  </si>
  <si>
    <t>0016-7940</t>
  </si>
  <si>
    <t>GEOMAGN AERON+</t>
  </si>
  <si>
    <t>Geomagn. Aeron.</t>
  </si>
  <si>
    <t>ZY531</t>
  </si>
  <si>
    <t>WOS:000074631300019</t>
  </si>
  <si>
    <t>Innis, JL; Greet, PA; Dyson, PL</t>
  </si>
  <si>
    <t>Are polar cap gravity waves a heat source for the high-latitude thermosphere?</t>
  </si>
  <si>
    <t>VERTICAL WINDS; TEMPERATURE; DYNAMICS</t>
  </si>
  <si>
    <t>Ground based measurements of thermospheric temperatures from Mawson, Antarctica, often show a marked spatial gradient, with data taken poleward of the discrete auroral oval up to 200 K or more warmer than measurements taken in or equatorward of the oval. This region of increased temperature is identified as the polar cap. We suggest a possible contribution to polar cap heating may be from thermospheric gravity waves.</t>
  </si>
  <si>
    <t>Australian Antarctic Div, Kingston, Tas 7050, Australia; La Trobe Univ, Dept Phys, Bundoora, Vic 3083, Australia</t>
  </si>
  <si>
    <t>Innis, JL (corresponding author), Australian Antarctic Div, Channel Highway, Kingston, Tas 7050, Australia.</t>
  </si>
  <si>
    <t>MAY 1</t>
  </si>
  <si>
    <t>10.1029/98GL01026</t>
  </si>
  <si>
    <t>ZL261</t>
  </si>
  <si>
    <t>WOS:000073414900051</t>
  </si>
  <si>
    <t>Ables, ST; Fraser, BJ; Waters, CL; Neudegg, DA; Morris, RJ</t>
  </si>
  <si>
    <t>Monitoring cusp/cleft topology using Pc5 ULF waves</t>
  </si>
  <si>
    <t>FIELD-LINE RESONANCES; PERIOD MAGNETIC PULSATIONS; CUSP; MAGNETOSPHERE; EXCITATION</t>
  </si>
  <si>
    <t>Induction magnetometer data recorded at three closely spaced sites (similar to 120 Km) in Antarctica (mlat similar to-75 degrees) have been examined for ionospheric signatures of the cusp/cleft region of the magnetosphere. Crossphase analysis of the 1-10 mHz band, using pure-state filtering techniques reveal diurnally varying field line resonances embedded in the spectra, while interstation phase lag measurements indicate azimuthal propagation of waves away from local magnetic noon. Using the T89 external field model crossphase measurements are put in the context of diurnally changing field line topology due to compression at the subsolar region and stretching along the dawn and dusk flanks. On six of the eight days of this study we have identify a consistent two dimensional phase pattern projected in the dayside ionosphere, indicating closed field lines thread these sites during periods of low to moderate geomagnetic activity (Kp&lt;3).</t>
  </si>
  <si>
    <t>Univ Newcastle, Dept Phys, Newcastle, NSW 2308, Australia; Australian Antarctic Div, Kingston, Tas 7050, Australia</t>
  </si>
  <si>
    <t>University of Newcastle; Australian Antarctic Division</t>
  </si>
  <si>
    <t>Ables, ST (corresponding author), Univ Newcastle, Dept Phys, Newcastle, NSW 2308, Australia.</t>
  </si>
  <si>
    <t>phsta@cc.newcastle.edu.au; ray_mor@marvin.antdiv.gov.au</t>
  </si>
  <si>
    <t>Waters, Colin L/B-3086-2011</t>
  </si>
  <si>
    <t>Waters, Colin L/0000-0003-2121-6962</t>
  </si>
  <si>
    <t>10.1029/98GL00848</t>
  </si>
  <si>
    <t>WOS:000073414900056</t>
  </si>
  <si>
    <t>Bentaleb, I; Fontugne, M</t>
  </si>
  <si>
    <t>The role of the southern Indian Ocean in the glacial to interglacial atmospheric CO2 change:: organic carbon isotope evidences</t>
  </si>
  <si>
    <t>15 INQUA Symposium on Carbon Cycle</t>
  </si>
  <si>
    <t>AUG, 1995</t>
  </si>
  <si>
    <t>BERLIN, GERMANY</t>
  </si>
  <si>
    <t>carbon isotopic composition; paleoproductivity; paleo-dissolved carbon dioxide</t>
  </si>
  <si>
    <t>ANTARCTIC WATERS; IRON HYPOTHESIS; SURFACE OCEAN; HIGH-LATITUDE; PRODUCTIVITY; RECORD; SEDIMENTS; SEA; CIRCULATION; HOLOCENE</t>
  </si>
  <si>
    <t>We use the carbon isotopic composition of sedimentary organic matter from marine cores as a proxy for paleoproductivity and pales-dissolved carbon dioxide concentrations in surface waters of the Southern Ocean during the last 50,000 years. For the Holocene period, paleo-pCO(2) reconstructions between 44 degrees and 55 degrees S reflect the preindustrial values (270 mu atm) and are in the variation range of modern ones. During the glaciation and deglaciation periods, pCO(2) was 50 to 100 mu atm higher in surface water than in the atmosphere as recorded in the Vostok ice core. This suggests that the Southern Indian Ocean could have been a potential source of CO2 for the glacial and deglacial atmosphere. These results, plus those of sedimentary organic carbon content suggest that the biological pump was off and unable to lower atmospheric CO2 concentration. This indicates that a winter ice covered ocean and stratification of summer surface water caused a reduction of gas exchange with the atmosphere during that period. (C) 1998 Elsevier Science B.V. All rights reserved.</t>
  </si>
  <si>
    <t>CEA, CNRS, Lab Mixte, Ctr Faibles Radioact, F-91198 Gif Sur Yvette, France; CSIC, Cid, Dept Environm Chem, ES-08034 Barcelona, Spain</t>
  </si>
  <si>
    <t>Universite Paris Saclay; Centre National de la Recherche Scientifique (CNRS); CEA; Consejo Superior de Investigaciones Cientificas (CSIC); CSIC - Centro de Investigacion y Desarrollo Pascual Vila (CID-CSIC)</t>
  </si>
  <si>
    <t>Fontugne, M (corresponding author), CEA, CNRS, Lab Mixte, Ctr Faibles Radioact, Domaine CNRS, F-91198 Gif Sur Yvette, France.</t>
  </si>
  <si>
    <t>Bentaleb, Ilham/AAD-8137-2019</t>
  </si>
  <si>
    <t>Bentaleb, Ilham/0000-0002-6023-7929</t>
  </si>
  <si>
    <t>10.1016/S0921-8181(98)00004-6</t>
  </si>
  <si>
    <t>ZY040</t>
  </si>
  <si>
    <t>WOS:000074580600003</t>
  </si>
  <si>
    <t>Townsend, AT; Edwards, R</t>
  </si>
  <si>
    <t>Ultratrace analysis of Antarctic snow and ice samples using high resolution inductively coupled plasma mass spectrometry</t>
  </si>
  <si>
    <t>JOURNAL OF ANALYTICAL ATOMIC SPECTROMETRY</t>
  </si>
  <si>
    <t>XXX Colloquium Spectroscopicum Internationale</t>
  </si>
  <si>
    <t>SEP 21-26, 1997</t>
  </si>
  <si>
    <t>MELBOURNE, AUSTRALIA</t>
  </si>
  <si>
    <t>high resolution inductively coupled plasma mass spectrometry; Antarctic samples; ultratrace analysis</t>
  </si>
  <si>
    <t>ATOMIC FLUORESCENCE SPECTROMETRY; GREENLAND SNOW; HEAVY-METALS; LEAD</t>
  </si>
  <si>
    <t>High resolution ICP-MS was used to determine the concentrations of Al, Sc, V, Mn, Fe, Co, Pb and Bi in snow and ice from Antarctica. To overcome some potentially problematic spectral interferences, measurements were acquired in both low and medium resolution modes. Small sample volumes were analysed using a microconcentric nebuliser. After rigorous instrument cleaning and sample preparation, detection levels in the low and sub-pg g(-1) range (0.3-48 pg g(-1)) were found for all elements. Concentration values were determined for a continental snow, sea ice snow and a representative ice core. Concentration ranges for all snow samples (n=25) were (in pg g(-1)): Al (30-2000), V (2-16), Mn (2-30) and Fe (30-1500), while Sc and Co were typically below detection or blank limits. The ice core sample had Al, Mn, Fe and Pb concentrations of 90, 7, 110 and 1 pg g(-1), respectively, while Sc, V, Co and Bi could not be quantified (below detection or blank Limits). The reliability of the analytical method for Fe was confirmed by flow injection analysis with spectrophotometric detection.</t>
  </si>
  <si>
    <t>Univ Tasmania, Cent Sci Lab, Hobart, Tas 7001, Australia; Univ Tasmania, Inst Antarctic &amp; So Ocean Studies, Hobart, Tas 7001, Australia</t>
  </si>
  <si>
    <t>Townsend, AT (corresponding author), Univ Tasmania, Cent Sci Lab, GPO Box 252-74, Hobart, Tas 7001, Australia.</t>
  </si>
  <si>
    <t>Townsend, Ashley/J-7445-2014; Edwards, Ross/B-1433-2013</t>
  </si>
  <si>
    <t>Townsend, Ashley/0000-0002-2972-2678; Edwards, Ross/0000-0002-9233-8775</t>
  </si>
  <si>
    <t>0267-9477</t>
  </si>
  <si>
    <t>J ANAL ATOM SPECTROM</t>
  </si>
  <si>
    <t>J. Anal. At. Spectrom.</t>
  </si>
  <si>
    <t>10.1039/a707871d</t>
  </si>
  <si>
    <t>Chemistry, Analytical; Spectroscopy</t>
  </si>
  <si>
    <t>Chemistry; Spectroscopy</t>
  </si>
  <si>
    <t>ZP982</t>
  </si>
  <si>
    <t>WOS:000073808900021</t>
  </si>
  <si>
    <t>Jones, AE; Bowden, T; Turner, J</t>
  </si>
  <si>
    <t>Predicting total ozone based on GTS data: Applications for South American high-latitude populations</t>
  </si>
  <si>
    <t>JOURNAL OF APPLIED METEOROLOGY</t>
  </si>
  <si>
    <t>RADIATION</t>
  </si>
  <si>
    <t>A regular occurrence during the 1990s has been the excursion of the edge of the springtime Antarctic ozone hole over the southernmost region of the South American continent. Given the essential role of atmospheric ozone in absorbing incoming solar ultraviolet radiation, the populations in this area are thus exposed to much higher ultraviolet-B irradiance than is normal for this time of year. The authors report here on a simple technique that might be used to forecast these low ozone episodes, based upon data readily available on the World Meteorological Organization Global Telecommunications System. Using this technique, total ozone during October 1991 at Punta Arenas, Chile, is predicted with a root mean-square error of 34.4 DU (12.8%) and a mean error of 14.8 DU (5.5%).</t>
  </si>
  <si>
    <t>British Antarctic Survey, Nat Environm Res Council, Cambridge CB3 0ET, England</t>
  </si>
  <si>
    <t>Jones, AE (corresponding author), British Antarctic Survey, Nat Environm Res Council, High Cross,Madingley Rd, Cambridge CB3 0ET, England.</t>
  </si>
  <si>
    <t>0894-8763</t>
  </si>
  <si>
    <t>J APPL METEOROL</t>
  </si>
  <si>
    <t>J. Appl. Meteorol.</t>
  </si>
  <si>
    <t>10.1175/1520-0450(1998)037&lt;0477:PTOBOG&gt;2.0.CO;2</t>
  </si>
  <si>
    <t>ZK387</t>
  </si>
  <si>
    <t>WOS:000073315600004</t>
  </si>
  <si>
    <t>Rodger, CJ; Wait, JR; Dowden, RL</t>
  </si>
  <si>
    <t>VLF scattering from Red Sprites - Theory</t>
  </si>
  <si>
    <t>PERTURBATIONS; SIGNATURES; IONIZATION; DISCHARGES</t>
  </si>
  <si>
    <t>A relatively simple model of Red Sprites as a set of conducting columns reproduces the radio physics properties of VLF sprites. The columnar structure of optical sprites is represented by thin vertical conducting columns (or 'Spritelets') in free space, with dimensions taken from optical observations. The scattered field from a set of coupled Spritelets has a complex amplitude pattern which normally includes some deep minima reproducing the 'perturbation shadows' seen in some experimental events. It is not uncommon for the back scattered amplitudes to be similar to those for forward scatter in the theoretical model, as in experimental reports. As some sprite events appear to have closely spaced Sprite:ets, the results presented here indicate that there will be a high degree of electrical shielding. This is an application of the theory presented by Rodger et al. (1997a). (C) 1998 Elsevier Science Ltd. All rights reserved.</t>
  </si>
  <si>
    <t>Univ Otago, Dept Phys, Dunedin, New Zealand; Univ Arizona, ECE Dept, Tucson, AZ 85719 USA</t>
  </si>
  <si>
    <t>University of Otago; University of Arizona</t>
  </si>
  <si>
    <t>British Antarctic Survey, NERC, Upper Atmospher Sci Div, High Cross,Madingley Rd, Cambridge CB3 0ET, England.</t>
  </si>
  <si>
    <t>cjro@mail.nerc-bas.ac.uk</t>
  </si>
  <si>
    <t>1879-1824</t>
  </si>
  <si>
    <t>7-9</t>
  </si>
  <si>
    <t>10.1016/S1364-6826(98)00015-7</t>
  </si>
  <si>
    <t>124QP</t>
  </si>
  <si>
    <t>WOS:000076193500011</t>
  </si>
  <si>
    <t>Zahn, A; Barth, V; Pfeilsticker, K; Platt, U</t>
  </si>
  <si>
    <t>Deuterium, oxygen-18, and tritium as tracers for water vapour transport in the lower stratosphere and tropopause region</t>
  </si>
  <si>
    <t>isotopic composition of H2O; water vapour transport</t>
  </si>
  <si>
    <t>ISOTOPE FRACTIONATION; VERTICAL-DISTRIBUTION; ARCTIC STRATOSPHERE; LIDAR OBSERVATIONS; DENITRIFICATION; PRECIPITATION; TEMPERATURE; DEHYDRATION; EXCHANGE; H2O</t>
  </si>
  <si>
    <t>Simultaneous measurements of the three rare isotopes Deuterium (D), Tritium (T), and Oxygen-18 (O-18) in water vapour were made for the first time in the vicinity of the northern hemisphere tropopause. In contrast to expectation, high D/H and O-18/O-16 ratios, but relatively low T/H ratios, were found within the lowermost stratosphere. Since water vapour in the low-latitude upper troposphere shows a similar isotopic signature, we conclude that in the mid-latitudes considerable amounts of tropospheric water vapour are injected into the lowermost stratosphere, probably resulting in a hydration of the lower stratosphere. In addition, T can serve as tracer for precipitation of water containing stratospheric aerosol particles, because the T/H ratio in stratospheric water vapour is orders of magnitude higher than in the upper troposphere. Thus, even a small contribution of water of stratospheric origin should be detectable in the tropopause region. In our measurements performed in the Arctic we did not find isotopic evidence for sedimentation of PSC particles down to the tropopause. This may be caused by the low spatial and temporal coverage of our observations; however, it may also be due to the much weaker wintertime dehydration of the Arctic vortex compared to the Antarctic.</t>
  </si>
  <si>
    <t>Univ Heidelberg, Inst Umweltphys, INF 366, D-69120 Heidelberg, Germany.</t>
  </si>
  <si>
    <t>za@uphys1.uphys.uni-heidelberg.de</t>
  </si>
  <si>
    <t>Zahn, Andreas/K-2567-2012</t>
  </si>
  <si>
    <t>Zahn, Andreas/0000-0003-3153-3451</t>
  </si>
  <si>
    <t>1573-0662</t>
  </si>
  <si>
    <t>10.1023/A:1005896532640</t>
  </si>
  <si>
    <t>101AC</t>
  </si>
  <si>
    <t>WOS:000074846600004</t>
  </si>
  <si>
    <t>Arnold, F; Burger, V; Gollinger, K; Roncossek, M; Schneider, J; Spreng, S</t>
  </si>
  <si>
    <t>Observations of nitric acid perturbations in the winter Arctic stratosphere: Evidence for PSC sedimentation</t>
  </si>
  <si>
    <t>ozone destruction; nitric acid; polar stratospheric clouds; sedimentation; denitrification/nitrification</t>
  </si>
  <si>
    <t>MASS-SPECTROMETER; ANTARCTIC STRATOSPHERE; POLAR STRATOSPHERES; OZONE DESTRUCTION; ICE PARTICLES; HNO3; CONDENSATION; DENITRIFICATION; DEHYDRATION; BALLOON</t>
  </si>
  <si>
    <t>Gaseous nitric acid (HNO3) and hydrogene fluoride CHF) have been measured in the winter Arctic stratosphere using balloon- and aircraft-based Ion Molecule Reaction Mass Spectrometry (IMRMS) instruments. Strong HNO3 perturbations were found in 1993 and 1995 which may indicate nitrification around 11-13 km and denitrification around 20 km altitude. Most likely these perturbations were caused by sedimentation of HNO3 containing aerosols followed by aerosol evaporation at lower altitudes.</t>
  </si>
  <si>
    <t>Max Planck Inst Kernphys, D-69029 Heidelberg, Germany</t>
  </si>
  <si>
    <t>Arnold, F (corresponding author), Max Planck Inst Kernphys, Postfach 10 39 80, D-69029 Heidelberg, Germany.</t>
  </si>
  <si>
    <t>Schneider, Johannes/A-2674-2010; Schneider, Johannes/JBJ-2119-2023</t>
  </si>
  <si>
    <t>Schneider, Johannes/0000-0001-7169-3973; Schneider, Johannes/0000-0001-7169-3973</t>
  </si>
  <si>
    <t>10.1023/A:1006014003391</t>
  </si>
  <si>
    <t>WOS:000074846600005</t>
  </si>
  <si>
    <t>Preston, KE; Fish, DJ; Roscoe, HK; Jones, RL</t>
  </si>
  <si>
    <t>Accurate derivation of total and stratospheric vertical columns of NO2 from ground-based zenith-sky measurements</t>
  </si>
  <si>
    <t>ABSORPTION-MEASUREMENTS; NITROGEN-DIOXIDE; ATMOSPHERE</t>
  </si>
  <si>
    <t>A new method for retrieving the vertical profile of NO2 from ground-based measurements is applied to four months of measurements made at Aberdeen (57 degrees N) during part of SESAME from November 1994 to April 1995. The retrieval method is shown to be an invaluable tool both for deriving the true NO2 vertical column and for removing the tropospheric contribution to the vertical column. This dramatically reduces the effects of tropospheric pollution in the observations and enables a more appropriate comparison with stratospheric 3-D model results. The comparison confirms the accuracy of the model's transport and its reactive nitrogen photochemistry, although there are some detailed discrepancies.</t>
  </si>
  <si>
    <t>Dept Chem, Cambridge Ctr Atmospher Sci, Cambridge CB2 1EW, England; British Antarctic Survey, NERC, Cambridge CB3 0ET, England</t>
  </si>
  <si>
    <t>University of Cambridge; UK Research &amp; Innovation (UKRI); Natural Environment Research Council (NERC); NERC British Antarctic Survey</t>
  </si>
  <si>
    <t>Preston, KE (corresponding author), Dept Chem, Cambridge Ctr Atmospher Sci, Lensfield Rd, Cambridge CB2 1EW, England.</t>
  </si>
  <si>
    <t>10.1023/A:1006019628406</t>
  </si>
  <si>
    <t>WOS:000074846600012</t>
  </si>
  <si>
    <t>Rind, D; Shindell, D; Lonergan, P; Balachandran, NK</t>
  </si>
  <si>
    <t>Climate change and the middle atmosphere.: Part III:: The doubled CO2 climate revisited</t>
  </si>
  <si>
    <t>TROPOSPHERE-STRATOSPHERE SYSTEM; GENERAL-CIRCULATION MODEL; ANTARCTIC OZONE HOLE; UV VARIABILITY; TRANSPORT; WARMINGS; QBO</t>
  </si>
  <si>
    <t>The response of the troposphere-stratosphere system to doubled atmospheric CO2 is investigated in a series of experiments in which sea surface temperatures are allowed to adjust to radiation imbalances. The Goddard Institute for Space Studies (GISS) Global Climate Middle Atmosphere Model (GCMAM) warms by 5.1 degrees C at the surface while the stratosphere cools by up to 10 degrees C. When ozone is allowed to respond photochemically, the stratospheric cooling is reduced by 20%, with little effect in the troposphere. Planetary wave energy increases in the stratosphere, producing dynamical warming at high latitudes, in agreement with previous GCMAM doubled CO2 simulations; the effect is due to increased tropospheric generation and altered refraction, both strongly influenced by the magnitude of warming in the model's tropical upper troposphere. This warming also results in stronger zonal winds in the lower stratosphere, which appears to reduce stratospheric planetary wave 2 energy and stratospheric warming events. The dynamical changes in the lower stratosphere are weakened when O-3 chemistry on polar stratospheric cloud effects are included at current stratospheric chlorine levels. Comparison with the nine-level version of the GISS GCM with a top at 10 mb shows that both the stratospheric and tropospheric dynamical responses are different. The tropospheric effect is mostly a function of the vertical resolution in the troposphere; finer vertical resolution leads to increased latent heat release in the warmer climate, greater zonal available potential energy increase. and greater planetary longwave energy and energy transports. The increase in planetary longwave energy and residual circulation in the stratosphere is reproduced when the model top is lifted from 30 to 50 km, which also affects upper-tropospheric stability, convection and cloud cover, and climate sensitivity.</t>
  </si>
  <si>
    <t>NASA, Goddard Space Flight Ctr, Inst Space Studies, New York, NY 10025 USA; Columbia Univ, Ctr Climate Syst Res, New York, NY USA; Sci Syst &amp; Anal Inc, New York, NY USA</t>
  </si>
  <si>
    <t>National Aeronautics &amp; Space Administration (NASA); NASA Goddard Space Flight Center; Columbia University</t>
  </si>
  <si>
    <t>NASA, Goddard Space Flight Ctr, Inst Space Studies, 2880 Broadway, New York, NY 10025 USA.</t>
  </si>
  <si>
    <t>cddhr@nasagiss.giss.nasa.gov</t>
  </si>
  <si>
    <t>Shindell, Drew/D-4636-2012</t>
  </si>
  <si>
    <t>Shindell, Drew/0000-0003-1552-4715</t>
  </si>
  <si>
    <t>10.1175/1520-0442(1998)011&lt;0876:CCATMA&gt;2.0.CO;2</t>
  </si>
  <si>
    <t>ZP526</t>
  </si>
  <si>
    <t>WOS:000073762300008</t>
  </si>
  <si>
    <t>Shindell, DT; Rind, D; Lonergan, P</t>
  </si>
  <si>
    <t>Climate change and the middle atmosphere.: Part IV:: Ozone response to doubled CO2</t>
  </si>
  <si>
    <t>GENERAL-CIRCULATION MODEL; SEA-SURFACE TEMPERATURE; STRATOSPHERIC OZONE; HOLE</t>
  </si>
  <si>
    <t>Parameterized stratospheric ozone photochemistry has been included in the Goddard Institute for Space Studies (GISS) GCM to investigate the coupling between chemistry and climate change for the doubled CO2 climate. The chemical ozone response is of opposite sign to temperature changes, so that radiative cooling in the upper stratosphere results in increased ozone, while warming reduces ozone in the lower stratosphere. The increased overhead column reduces the amount of UV reaching the lower stratosphere, resulting in further ozone decreases there. Changes of up to 15% are seen, including both photochemistry and transport. Good agreement is found between the authors' results and those in other models for tropical latitudes where the stratospheric temperature responses are similar. However, in the extratropics, there are large differences between present results and those of the other models due to differences in tropospheric warming and tropospheric forcing of the stratospheric residual circulation. A net decrease in column ozone at midlatitudes is seen in this climate model, in contrast to the other models that showed an increase in column ozone everywhere. These ozone reductions lead to an increase of 10% in UV radiation reaching the surface at northern midlatitudes. The authors find significantly less of an increase in the high-latitude ozone column than in the other models. When parameterized heterogeneous chemistry on polar stratospheric clouds is also included, while maintaining current chlorine loading, it is found that the Antarctic ozone hole becomes significantly larger and of longer duration. In addition, an ozone hole of approximately half the depth in percent of the current Antarctic ozone hole forms in the Arctic due to both chemistry and transport changes resulting from a reduction of sudden warmings seen in the doubled CO2 atmosphere.</t>
  </si>
  <si>
    <t>NASA, Goddard Inst Space Studies, New York, NY 10025 USA; Columbia Univ, Ctr Climate Syst Res, New York, NY USA; Sci Syst &amp; Applicat, New York, NY USA</t>
  </si>
  <si>
    <t>National Aeronautics &amp; Space Administration (NASA); NASA Goddard Space Flight Center; Goddard Institute for Space Studies; Columbia University</t>
  </si>
  <si>
    <t>Shindell, DT (corresponding author), NASA, Goddard Inst Space Studies, 2880 Broadway, New York, NY 10025 USA.</t>
  </si>
  <si>
    <t>10.1175/1520-0442(1998)011&lt;0895:CCATMA&gt;2.0.CO;2</t>
  </si>
  <si>
    <t>WOS:000073762300009</t>
  </si>
  <si>
    <t>Thiriot-Quievreux, C; Leitao, A; Cuzin-Roudy, J</t>
  </si>
  <si>
    <t>Chromosome diversity in Mediterranean and Antarctic euphausiid species (Euphausiacea)</t>
  </si>
  <si>
    <t>JOURNAL OF CRUSTACEAN BIOLOGY</t>
  </si>
  <si>
    <t>KARYOTYPE; KARYOLOGY; DECAPODA</t>
  </si>
  <si>
    <t>Chromosome number and morphology were studied in gonadal tissue from eight euphausiid species, using an air-drying technique and Giemsa staining. Among Mediterranean species, haploid chromosome numbers were: n = 19 in Euphausia hemigibba, Euphausia brevis, and Nematoscelis megalops, n = 18 in Euphausia krohni, and n = 11 in Nyctiphanes couchi. Among Antarctic species, haploid chromosome numbers were: n = 17 in Euphausia superba, n = 20 in Thysanoessa macrura, and n = 13 in Thysanoessa vicina. Chromosome morphology was further studied for three species after chromosome measurements: Euphausia hemigibba karyotype showed 17 metacentric and 2 submetacentric chromosome pairs, Euphausia krohni 17 metacentric and 1 submetacentric chromosome pairs, and Nematoscelis megalops 17 metacentric and 2 submetacentric chromosome pairs. Three species sharing the same chromosome number of n = 19, i.e., Euphausia hemigibba, Nematoscelis megalops, and Meganyctiphanes norvegica were distinguished by a different slope of the decrease in chromosome size and by the presence/absence of metacentric and submetacentric chromosome pairs differing in number and position. Chromosome morphology of other species was derived from the observation of meiotic metaphases II. A majority of metacentric chromosomes was also displayed. Cytotaxonomic differences in haploid chromosome number allow the discrimination of morphologically neighboring sympatric species (e.g., Meganyctiphanes norvegica and Nyctiphanes couchi; Thysanoessa vicina and T. macrura). Euphausiids share common chromosomal features which clearly separate them from other eucarids, i.e., a narrow range of haploid chromosome number, a large chromosome size, and a majority of metacentric chromosomes.</t>
  </si>
  <si>
    <t>INSU, CNRS, URS 2077, UPMC,Observ Oceanol, F-06230 Villefranche Sur Mer, France</t>
  </si>
  <si>
    <t>Centre National de la Recherche Scientifique (CNRS); CNRS - National Institute for Earth Sciences &amp; Astronomy (INSU); Sorbonne Universite</t>
  </si>
  <si>
    <t>Thiriot-Quievreux, C (corresponding author), INSU, CNRS, URS 2077, UPMC,Observ Oceanol, BP 28, F-06230 Villefranche Sur Mer, France.</t>
  </si>
  <si>
    <t>thiriot@ccrv.obs-vlfr.fr</t>
  </si>
  <si>
    <t>Leitao, Alexandra B/F-8147-2011</t>
  </si>
  <si>
    <t>Leitao-BenHamadou, Alexandra/0000-0001-8903-3797</t>
  </si>
  <si>
    <t>0278-0372</t>
  </si>
  <si>
    <t>1937-240X</t>
  </si>
  <si>
    <t>J CRUSTACEAN BIOL</t>
  </si>
  <si>
    <t>J. Crustac. Biol.</t>
  </si>
  <si>
    <t>10.2307/1549322</t>
  </si>
  <si>
    <t>ZN085</t>
  </si>
  <si>
    <t>WOS:000073607900008</t>
  </si>
  <si>
    <t>Cake, MH; Power, GW; Stonell, LM; Potter, IC</t>
  </si>
  <si>
    <t>Kinetic behavior of muscle carnitine palmitoyltransferase I in the lamprey Geotria australis, before and after the marine trophic phase</t>
  </si>
  <si>
    <t>JOURNAL OF EXPERIMENTAL ZOOLOGY</t>
  </si>
  <si>
    <t>FATTY-ACID OXIDATION; MALONYL-COA; HEPATIC MITOCHONDRIAL; BETA-OXIDATION; ANTARCTIC FISH; LIVER; RAT; SENSITIVITY; STARVATION; SUBSTRATE</t>
  </si>
  <si>
    <t>This study was aimed at determining whether the marked changes that occur in the diet during the life cycle of the lamprey Geotria australis, and thus also in the fatty acid composition of the triacylglycerol stores, are accompanied by alterations in the v(max) and apparent K-0.5 of skeletal muscle carnitine palmitoyltransferase I (CPT I) towards the CoA derivatives of the fatty acids 16:0, 16:1n-7, 18:1n-9, 18:2n-6, and 22:6n-3. The activity of CPT I towards the last four of these acyl CoAs increased progressively from the microphagous larvae to young adults, prior to the onset of their marine trophic phase, to fully grown adults, which had ceased feeding on fish and embarked on their spawning run. For example, the nu(max) of CPT I towards 18:1n-9 rose from 4.4, to 7.6 to 11.5 nmol.min(-1).mg mitochondrial protein(-1) over the course of the three life-cycle stages. The values for the nu(max) of lamprey muscle CPT I towards the various CoA esters were not directly correlated with the percentage contributions of the corresponding fatty acids to the triacylglycerol stores. Despite very pronounced differences in the biochemistry, physiology, and physical activity of each life-cycle stage, as well as in the fatty acid composition of the triacylglycerols, before and after the adult trophic phase, the nu(max) for CPT I was always greatest for 16:1n-7 and 18:1n-9. Because the reactivity of CPT I towards the latter two monoenoic fatty acids is also high in teleost fishes and in rat, such a characteristic may have been conserved throughout vertebrate evolution. (C) 1998 Wiley-Liss, Inc.</t>
  </si>
  <si>
    <t>Murdoch Univ, Sch Biol Sci, Murdoch, WA 6150, Australia</t>
  </si>
  <si>
    <t>Murdoch University</t>
  </si>
  <si>
    <t>Cake, MH (corresponding author), Murdoch Univ, Sch Biol Sci, Murdoch, WA 6150, Australia.</t>
  </si>
  <si>
    <t>maxcake@possum.murdoch.edu.au</t>
  </si>
  <si>
    <t>Cake, Max H/G-4159-2014</t>
  </si>
  <si>
    <t>DIV JOHN WILEY &amp; SONS INC, 111 RIVER ST, HOBOKEN, NJ 07030 USA</t>
  </si>
  <si>
    <t>0022-104X</t>
  </si>
  <si>
    <t>J EXP ZOOL</t>
  </si>
  <si>
    <t>J. Exp. Zool.</t>
  </si>
  <si>
    <t>10.1002/(SICI)1097-010X(19980501)281:1&lt;6::AID-JEZ2&gt;3.0.CO;2-S</t>
  </si>
  <si>
    <t>ZJ399</t>
  </si>
  <si>
    <t>WOS:000073211300002</t>
  </si>
  <si>
    <t>Plag, HP; Engen, B; Clark, TA; Degnan, JJ; Richter, B</t>
  </si>
  <si>
    <t>Post-glacial rebound and present-day three-dimensional deformations</t>
  </si>
  <si>
    <t>JOURNAL OF GEODYNAMICS</t>
  </si>
  <si>
    <t>RELATIVE SEA-LEVEL; DEEP MANTLE VISCOSITY; COMPUTING 3-DIMENSIONAL DEFORMATIONS; DEGLACIAL LAND EMERGENCE; PERMANENT GPS NETWORK; CURRENT PLATE MOTIONS; ANTARCTIC ICE-SHEET; ISOSTATIC-ADJUSTMENT; VISCOELASTIC EARTH; SURFACE LOADS</t>
  </si>
  <si>
    <t>The WEGENER dagger activities related to the study of post-glacial rebound are presented together with a review of the present state-of-the-art in this study field. Postglacial rebound research is an unique tool for studying the viscoelastic behaviour of the Earth's mantle on time scales of thousands of years. The viscosity structure of the Earth's mantle determined from an inversion of observations of glacially induced deformations is a basic requirement for modelling long-term phenomena such as the convection in the Earth's mantle, and for better understanding unsolved questions sur:h as the nature of the mantle discontinuities or the vertical scale of convection. First, an introduction to the scientific background is given, and the three principal ingredients for post-glacial rebound studies, namely the ice model, the Earth model, and the observations are briefly considered. For the ice model, the uncertainties due to a tradeoff between ice model and Earth theology are outlined. The different approaches used to model the Earth and its deformations in post-glacial rebound studies are discussed emphasising the preliminary nature of the derived theologies and depth dependencies. The observations, in particular the relative sea-level changes and three-dimensional surface deformations, are described with special emphasis on observational gaps. Based on the discussion of the ingredients, an outline of the future developments in post-glacial rebound research is attempted with particular emphasis on the Earth model and the theory of deformations. For several decades extreme efforts have been made to precisely monitor the land uplift in Scandinavia. However, for the height component the existing data still are associated with large uncertainties while reliable data on the horizontal component are practically nil. The ongoing long-term (longer than ten years) spacegeodetic measurements are likely to provide the three-dimensional deformations with the spatial resolution and accuracy required in order to substantially contribute to post-glacial rebound studies. Thus, present-day three-dimensional deformations of the Earth's surface beneath and around the former ice sheets as a constraint for the mantle theology and viscosity structure will increasingly become important as they become known from space-geodetic measurements with high spatial resolution and an accuracy approaching the mm/a-level. (C) 1998 Published by Elsevier Science Ltd. All rights reserved.</t>
  </si>
  <si>
    <t>Univ Kiel, Inst Geophys, Kiel, Germany; Statens Kartwerk, Honefoss, Norway; NASA, Goddard Space Flight Ctr, Greenbelt, MD 20771 USA; Inst Angew Geodasie, Frankfurt, Germany</t>
  </si>
  <si>
    <t>University of Kiel; National Aeronautics &amp; Space Administration (NASA); NASA Goddard Space Flight Center</t>
  </si>
  <si>
    <t>Plag, HP (corresponding author), Univ Kiel, Inst Geophys, Gutenbergstr 76-78, Kiel, Germany.</t>
  </si>
  <si>
    <t>Clark, Taylor/KCJ-8422-2024; Degnan, John/ABA-3963-2020</t>
  </si>
  <si>
    <t>Degnan, John/0000-0003-3677-0173</t>
  </si>
  <si>
    <t>0264-3707</t>
  </si>
  <si>
    <t>J GEODYN</t>
  </si>
  <si>
    <t>J. Geodyn.</t>
  </si>
  <si>
    <t>MAY-JUL</t>
  </si>
  <si>
    <t>10.1016/S0264-3707(97)00032-X</t>
  </si>
  <si>
    <t>ZV270</t>
  </si>
  <si>
    <t>WOS:000074287800007</t>
  </si>
  <si>
    <t>Smith, RW; Hernandez, G; Roble, RG; Dyson, PL; Conde, M; Crickmore, R; Jarvis, M</t>
  </si>
  <si>
    <t>Observation and simulations of winds and temperatures in the Antarctic thermosphere for August 2-10, 1992</t>
  </si>
  <si>
    <t>GENERAL-CIRCULATION MODEL; GEOMAGNETIC STORM; SOUTH-POLE; LATITUDE; DYNAMICS</t>
  </si>
  <si>
    <t>Optically derived upper thermospheric wind and temperature data, collected at Antarctic stations at South Pole (L=14), Mawson (L=9.3), and Halley (L=4.6), and averaged over the low-activity period August 2-10, 1992, have been interpreted with the help of simulation by the National Center for Atmospheric Research thermosphere ionosphere electrodynamic general circulation model (TIEGCM) with inputs matching the average conditions of observation. The simulation provides a global background context upon which the widely-separated optical observations can be placed. The simulation shows three large-scale structures in the polar wind field: the morning vortex, the evening vortex, and the cross-polar wind jet. Each of these came within view of the group of observing stations during the diurnal cycle, providing arrival time observations and signatures which were examined relative to the TIEGCM simulation. Reasonable correspondence was found, indicating the capability of the model to agree simultaneously with observations at three widely spaced stations representative of the subauroral and auroral zones, as well as the polar cap. Simulated wind directions were in excellent agreement with observation, although wind magnitudes frequently exceeded measured values by up to 30%, Apparent divergent flows in the data from Halley and Mawson were explained as signatures of vortices from their presence in the simulated wind fields. Observed diurnal mean temperatures compared well with the simulation, confirming that heat inputs and the distribution of thermal energy in the model are, on average, reasonable, A significant and persistent difference between experimental and modeled temperatures was that the diurnal temperature variation observed at South Pole peaked at the nightside crossing of the jet and was minimum a few hours before noon magnetic local time, whereas the simulation indicated minimum temperatures on the nightside, in antiphase to the measurements. A simple calculation indicates that the observed temperature difference between the air parcels entering the polar cap, encountered on the dayside, and those leaving the polar cap on the nightside is reasonably matched to the heating due to the ion-drag acceleration process. No explanation of the lack of this temperature rise in the TIEGCM simulation is presently available.</t>
  </si>
  <si>
    <t>Univ Alaska, Inst Geophys, Fairbanks, AK 99775 USA; Winfrith Technol Ctr, Dorchester DT3 8X, Dorset, England; La Trobe Univ, Sch Phys, Bundoora, Vic 3083, Australia; Univ Washington, Grad Program Geophys, Seattle, WA 98195 USA; British Antarctic Survey, Cambridge CB3 0ET, England; Natl Ctr Atmospher Res, High Altitude Observ, Boulder, CO 80307 USA</t>
  </si>
  <si>
    <t>University of Alaska System; University of Alaska Fairbanks; La Trobe University; University of Washington; University of Washington Seattle; UK Research &amp; Innovation (UKRI); Natural Environment Research Council (NERC); NERC British Antarctic Survey; National Center Atmospheric Research (NCAR) - USA</t>
  </si>
  <si>
    <t>Smith, RW (corresponding author), Univ Alaska, Inst Geophys, Fairbanks, AK 99775 USA.</t>
  </si>
  <si>
    <t>Ishak, Mustapha/KBA-0418-2024; Smith, Richard/JZD-2895-2024</t>
  </si>
  <si>
    <t>Hernandez, Gonzalo/0000-0003-4245-8696</t>
  </si>
  <si>
    <t>A5</t>
  </si>
  <si>
    <t>10.1029/97JA03336</t>
  </si>
  <si>
    <t>ZL412</t>
  </si>
  <si>
    <t>WOS:000073430300037</t>
  </si>
  <si>
    <t>Polyakov, IV; Kulakov, IY; Kolesov, SA; Dmitriev, NE; Pritchard, RS; Driver, D; Naumov, AK</t>
  </si>
  <si>
    <t>Coupled sea ice-ocean model of the Arctic Ocean</t>
  </si>
  <si>
    <t>JOURNAL OF OFFSHORE MECHANICS AND ARCTIC ENGINEERING-TRANSACTIONS OF THE ASME</t>
  </si>
  <si>
    <t>THICKNESS DISTRIBUTION; CIRCULATION; EXCHANGE</t>
  </si>
  <si>
    <t>A fully prognostic coupled ice-ocean model is described. The ice model is based on the elastic-plastic constitutive law with ice mass and compactness described by distribution functions. The ice thermodynamics model is applied individually to each ice thickness category. Advection of the ice partial mass and concentrations is parameterized by a fourth-order algorithm that conserves monotonicity of the solution. The ocean is described as a three-dimensional time-dependent baroclinic model with free surface. The coupled model is applied to establish the Arctic Ocean seasonal climatology using fully prognostic models for ice and ocean. Results reflect the importance of the ice melting/freezing in the formation of the thermohaline structure of the upper ocean layer.</t>
  </si>
  <si>
    <t>Univ Alaska Fairbanks, Inst Marine Sci, Fairbanks, AK 99775 USA; St Petersburg State Hydrometeorol Inst, Arctic &amp; Antarctic Res Inst, St Petersburg 198397, Russia; IceCasting Inc, San Rafael, CA 94901 USA; Amoco Prod Co, Houston, TX 77059 USA</t>
  </si>
  <si>
    <t>University of Alaska System; University of Alaska Fairbanks; Arctic &amp; Antarctic Research Institute; BP</t>
  </si>
  <si>
    <t>Univ Alaska Fairbanks, Inst Marine Sci, 200 ONeill Bldg, Fairbanks, AK 99775 USA.</t>
  </si>
  <si>
    <t>igor@ims.alaska.edu</t>
  </si>
  <si>
    <t>Naumov, Alexander Kondratevich/A-1581-2014</t>
  </si>
  <si>
    <t>ASME</t>
  </si>
  <si>
    <t>TWO PARK AVE, NEW YORK, NY 10016-5990 USA</t>
  </si>
  <si>
    <t>0892-7219</t>
  </si>
  <si>
    <t>1528-896X</t>
  </si>
  <si>
    <t>J OFFSHORE MECH ARCT</t>
  </si>
  <si>
    <t>J. Offshore Mech. Arct. Eng. Trans. ASME</t>
  </si>
  <si>
    <t>10.1115/1.2829527</t>
  </si>
  <si>
    <t>Engineering, Ocean; Engineering, Mechanical</t>
  </si>
  <si>
    <t>ZP694</t>
  </si>
  <si>
    <t>WOS:000073779100003</t>
  </si>
  <si>
    <t>Zinsmeister, WJ</t>
  </si>
  <si>
    <t>Discovery of fish mortality horizon at the K-T boundary on Seymour Island: Re-evaluation of events at the end of the Cretaceous</t>
  </si>
  <si>
    <t>JOURNAL OF PALEONTOLOGY</t>
  </si>
  <si>
    <t>TERTIARY BOUNDARY; FOSSIL RECORD; EXTINCTIONS; ANTARCTICA; DENMARK; IRIDIUM</t>
  </si>
  <si>
    <t>The discovery of a fish bone layer immediately overlying the K-T iridium anomaly on Seymour Island, Antarctic Peninsula, which may represent the first documented mass kill associated with the impact event, together with new faunal data across the boundary has provided new insight into events at the end of the Cretaceous. The utilization of a geographical approach and a new graphical representation of range data has revealed that events at the end of the Cretaceous were not instantaneous, but occurred over a finite period of time. Although the fish bone layer may contain victims of the impact event, the absence of ammonites in either the iridium-bearing layer or the overlying fish layer suggests that the extinction event at the end of the Cretaceous was the culmination of several processes beginning in the late Campanian. The impact was the proverbial straw that broke the camel's back, leading to the extinction of many others forms of life that might have survived the period of global biotic stress during the waning stages of the Mesozoic if then had not been an impact. The absence of mass extinction following catastrophic geologic events in a biotic robust world, such as the Middle Ordovician Millbrig-Big Bentonite volcanic event suggests that the biosphere is remarkably resilient to major geologic catastrophes with mass extinction events occurring only when there is a conjunction of geologic events none of which might be capable of producing a global mass extinction by itself.</t>
  </si>
  <si>
    <t>Purdue Univ, Dept Earth &amp; Atmospher Sci, W Lafayette, IN 47907 USA</t>
  </si>
  <si>
    <t>Zinsmeister, WJ (corresponding author), Purdue Univ, Dept Earth &amp; Atmospher Sci, W Lafayette, IN 47907 USA.</t>
  </si>
  <si>
    <t>0022-3360</t>
  </si>
  <si>
    <t>J PALEONTOL</t>
  </si>
  <si>
    <t>J. Paleontol.</t>
  </si>
  <si>
    <t>10.1017/S0022336000024331</t>
  </si>
  <si>
    <t>ZN095</t>
  </si>
  <si>
    <t>WOS:000073609400019</t>
  </si>
  <si>
    <t>Mercier, H; Speer, KG</t>
  </si>
  <si>
    <t>Transport of bottom water in the Romanche Fracture Zone and the Chain Fracture Zone</t>
  </si>
  <si>
    <t>ATLANTIC DEEP-WATER; WESTERN ATLANTIC; NORTH-ATLANTIC; BRAZIL BASIN; FLOW; CIRCULATION; CURRENTS; EQUATOR; OCEAN</t>
  </si>
  <si>
    <t>Two moored arrays deployed in the Romanche Fracture Zone and Chain Fracture Zone in the equatorial Atlantic Ocean provide two-year-long time series of current and temperature in the Lower North Atlantic Deep Water and the Antarctic Bottom Water. Total rime-averaged transport of Antarctic Bottom Water (potential temperature theta &lt; 1.9 degrees C) across the Mid-Atlantic Ridge amounts to 1.22 X 10(6) m(3) s(-1) eastward with a standard deviation of +/-0.25 X 10(6) m(3) s(-1). A time-averaged transport of 0.36(+/- 0.23) x 10(6) m(3) s(-1) eastward is found for the Lower North Atlantic Deep Water in the 1.9 degrees &lt; theta &lt; 2.1 degrees C temperature range, but this may represent only a fraction of the total flow of this water mass across the ridge. Contributions of the Romanche Fracture Zone and Chain Fracture Zone to the Antarctic Bottom Water transport are similar, while the Chain Fracture Zone has the greater share of Lower North Atlantic Deep Water transport. Semiannual and annual periods are detected in the transport time series and together explain 24% of the Antarctic Bottom Water transport variance in the Romanche Fracture Zone. In the Chain Fracture Zone, Antarctic Bottom Water transport variance is dominated by fluctuations in the period band 10-20 days.</t>
  </si>
  <si>
    <t>UBO, IFREMER, Ctr Brest, CNRS,Lab Phys Oceans, F-29280 Plouzane, France</t>
  </si>
  <si>
    <t>Universite de Bretagne Occidentale; Institut Universitaire Europeen de la Mer (IUEM); Centre National de la Recherche Scientifique (CNRS); Ifremer; Institut de Recherche pour le Developpement (IRD)</t>
  </si>
  <si>
    <t>Mercier, H (corresponding author), UBO, IFREMER, Ctr Brest, CNRS,Lab Phys Oceans, BP 70, F-29280 Plouzane, France.</t>
  </si>
  <si>
    <t>MERCIER, Herle/L-4161-2015</t>
  </si>
  <si>
    <t>MERCIER, Herle/0000-0002-1940-617X</t>
  </si>
  <si>
    <t>10.1175/1520-0485(1998)028&lt;0779:TOBWIT&gt;2.0.CO;2</t>
  </si>
  <si>
    <t>ZP532</t>
  </si>
  <si>
    <t>WOS:000073762900003</t>
  </si>
  <si>
    <t>Skagseth, O; Mork, KA</t>
  </si>
  <si>
    <t>Stability of the thermohaline circulation to noisy surface buoyancy forcing for the present and a warm climate in an ocean general circulation model</t>
  </si>
  <si>
    <t>VARIABILITY; TEMPERATURE; HEAT; FLUX; OSCILLATIONS; SENSITIVITY</t>
  </si>
  <si>
    <t>The stabilities of two different circulation regimes in the North Atlantic, 1) the present thermohaline circulation and 2) a weaker thermohaline circulation, are compared using the Hamburg Large Scale Geostrophic (LSC) ocean circulation model. The latter circulation regime is obtained by restoring the LSG model toward an on average 4 degrees C warmer air surface temperature corresponding to a doubled atmospheric content of CO2. The stabilities of these stationary slates are investigated by imposing various amounts of stochastic noise on the surface freshwater flux. The simulations show more variability on secular timescales for the present than for the warm climate. Since the modeled static stabilities for the two climates are relatively similar, the different rates of variability are probably connected to other mechanisms. in the present climate at high latitudes the two buoyancy fluxes due to heat and freshwater are of similar magnitudes but with opposite signs; thus switches between convective and nonconvective periods at secular timescales are possible. In the warm climate the buoyancy flux due to heat dominates. This compensates the effect of the noisy freshwater forcing and thus reduces the potential for secular oscillations. The stronger coupling between the Atlantic and the Southern Ocean for the present relative to the warm climate could also contribute to this difference. Furthermore, the simulations shaw that the variability of the Antarctic Circumpolar Current transport for the present climate exceeds that of the warm climate. For increasing stochastic noise the present circulation approaches that of the warm circulation. The authors apply a mixture of heat Bur and temperature restoring for the surface boundary condition. Comparison with similar works, which apply a pure restoring for surface temperature, shows that the ocean circulation is much less sensitive to forced stochastic freshwater anomalies with the type of boundary condition used herein. A box model is used to illustrate the effects of the surface temperature parameterizations and the different buoyancy forcing far the present and warm climate.</t>
  </si>
  <si>
    <t>Skagseth, O (corresponding author), Univ Bergen, Inst Geophys, Allegt 70, N-5007 Bergen, Norway.</t>
  </si>
  <si>
    <t>10.1175/1520-0485(1998)028&lt;0842:SOTTCT&gt;2.0.CO;2</t>
  </si>
  <si>
    <t>WOS:000073762900007</t>
  </si>
  <si>
    <t>Tulaczyk, S; Kamb, B; Scherer, RP; Engelhardt, HF</t>
  </si>
  <si>
    <t>Sedimentary processes at the base of a West Antarctic ice stream: Constraints from textural and compositional properties of subglacial debris</t>
  </si>
  <si>
    <t>JOURNAL OF SEDIMENTARY RESEARCH</t>
  </si>
  <si>
    <t>GLACIAL MARINE-SEDIMENTS; CONTINENTAL-SHELF; QUARTZ GRAINS; SEA CORES; BENEATH; TILL; SHEET; DEFORMATION; LAURENTIDE; MECHANISM</t>
  </si>
  <si>
    <t>Samples of sediments from beneath Ice Stream B (at camp UpB), West Antarctica, provide the first opportunity to study the relationship between sediment properties and physical conditions in a sub-ice-stream environment. Piston coring in holes bored by hot-water drilling yielded five 1-3 m long, undisturbed subglacial sediment cores. We analyzed granulometry, composition, and particle morphology in these cores. The UpB cores are composed of a clay rich, unsorted diamicton containing rare marine diatoms, Sedimentary particles in these cores bear no evidence of the recent crushing or abrasion that is common in other subglacial sedimentary environments. The presence of reworked diatoms and their state of preservation, as well as the relative spatial homogeneity of this diamicton, suggest that the UpB cores sampled a several-meter-thick till layer and not in situ glacimarine sediments. The till does incorporate material recycled from the subjacent poorly indurated Tertiary glacimarine sediments of the Boss Sea sedimentary basin, which extends beneath this part of the West Antarctic Ice Sheet. We propose that the lack of significant comminution in the UpB till is ultimately due to its setting over these easily erodible, clay-rich source sediments. The resulting fine-grained till matrix inhibits glacial comminution, because it facilitates buildup of high pore-water pressures and hinders interparticle stress concentrations, Our observations are consistent with the conjecture that subglacial deformation of weak, fine-grained tills does not produce significant comminution of till debris (Elson 1988), Based on our findings, we hypothesize that extensive layers of weak till may develop preferentially where ice overrides preexisting, poorly indurated, fine grained sediments, Since such weak till layers create a permissive condition far ice streaming, subglacial geology may have an indirect but strong control over the location, extent, and basal mechanics of ice streams.</t>
  </si>
  <si>
    <t>CALTECH, Div Geol &amp; Planetary Sci, Pasadena, CA 91125 USA; Uppsala Univ, Inst Earth Sci, S-75236 Uppsala, Sweden</t>
  </si>
  <si>
    <t>California Institute of Technology; Uppsala University</t>
  </si>
  <si>
    <t>CALTECH, Div Geol &amp; Planetary Sci, Pasadena, CA 91125 USA.</t>
  </si>
  <si>
    <t>6128 EAST 38TH ST, STE 308, TULSA, OK 74135-5814 USA</t>
  </si>
  <si>
    <t>1527-1404</t>
  </si>
  <si>
    <t>1938-3681</t>
  </si>
  <si>
    <t>J SEDIMENT RES</t>
  </si>
  <si>
    <t>J. Sediment. Res.</t>
  </si>
  <si>
    <t>10.2110/jsr.68.487</t>
  </si>
  <si>
    <t>ZM680</t>
  </si>
  <si>
    <t>WOS:000073565100012</t>
  </si>
  <si>
    <t>Antarctic peninsular cryosphere: Early Oligocene (c. 30 Ma) initiation and a revised glacial chronology</t>
  </si>
  <si>
    <t>Antarctic Peninsula; Cenozoic; Sr-87/Sr-86; glacial sedimentation; ice sheets</t>
  </si>
  <si>
    <t>SOUTHERN-OCEAN; EOCENE; CIRCULATION</t>
  </si>
  <si>
    <t>Strontium isotope stratigraphy provides a chronology for Cenozoic cryogenic strata in the northern Antarctic Peninsula and allows an assessment of diachronism in onset of glacial conditions between East and West Antarctica. The earliest observed event on the Antarctic Peninsula was late Early Oligocene (29.8 +/- 0.6 Ma) (at least c. 4 Ma later than in East Antarctica), with a second in the early Early Miocene (22.6 +/- 0.4 Ma). Both glacials and intervening interglacial were continent-wide phenomena. Two late Neogene glaciations are distinguished: early Late Miocene (9.9 +/- 0.97 Ma) (Hobbs Glacier/Jones Mountains) and latest Miocene (Alexander Island). A further late Neogene glacial deposit (Weddell Formation) can be constrained only as &lt; c. 10 Ma.</t>
  </si>
  <si>
    <t>Univ Copenhagen, Inst Geol, DK-1350 Copenhagen, Denmark; British Antarctic Survey, Cambridge CB3 0ET, England; Univ Cambridge, Dept Earth Sci, Cambridge CB2 3EQ, England</t>
  </si>
  <si>
    <t>University of Copenhagen; UK Research &amp; Innovation (UKRI); Natural Environment Research Council (NERC); NERC British Antarctic Survey; University of Cambridge</t>
  </si>
  <si>
    <t>10.1144/gsjgs.155.3.0433</t>
  </si>
  <si>
    <t>ZN998</t>
  </si>
  <si>
    <t>WOS:000073705100003</t>
  </si>
  <si>
    <t>Vanhove, S; Lee, HJ; Beghyn, M; Van Gansbeke, D; Brockington, S; Vincx, M</t>
  </si>
  <si>
    <t>The metazoan meiofauna in its biogeochemical environment: The case of an Antarctic coastal sediment</t>
  </si>
  <si>
    <t>SOUTH ORKNEY ISLANDS; SIGNY ISLAND; MARINE-SEDIMENTS; BENTHIC MICROALGAE; ORGANIC-CARBON; SEA; WATERS; PHYTOPLANKTON; ASSIMILATION; SEASONALITY</t>
  </si>
  <si>
    <t>The metazoan meiobenthos was investigated in an Antarctic coastal sediment (Factory Cove, Signy Island, Antarctica). The fine sands contained much higher abundances compared to major sublittoral sediments worldwide. Classified second after Narrangansett Bay (North Atlantic) they reached numbers of 13 x 10(6) ind m(-2). The meiofauna was highly abundant in the surface layers, but densities decreased sharply below 2 cm. Vertical profiles mirrored steep gradients of microbiota, chloropigments and organic matter and were coincident with chemical stratification. Spatial patchiness manifested especially in the surface layer. Nematodes dominated (up to 90%), and Aponema, Chromadorita, Diplolaimella, Daptonema, Microlaimus and Neochromadora constituted almost the entire community. Overall, the nematode fauna showed a strong similarity with fine sand communities elsewhere. The dominant trophic strategies were epistratum and non-selective deposit feeding, but the applied classification for feeding guild structure of the nematodes of Factory Cove is discussed. High standing stock, low diversity and shallow depth distribution may have occurred because of the high nutritive (chlorophyll exceeded 1000 mg m(-2) and constituted almost 50% of the organic pool) and reductive character of the benthic environment. These observations must have originated from the substantial input of fresh organic matter from phytoplankton and microphytobenthic production, typical for an Antarctic coastal ecosystem during the austral summer.</t>
  </si>
  <si>
    <t>State Univ Ghent, Dept Morphol Systemat &amp; Ecol, Marine Biol Sect, B-9000 Ghent, Belgium; British Antarctic Survey, Cambridge CB3 0ET, England</t>
  </si>
  <si>
    <t>Ghent University; UK Research &amp; Innovation (UKRI); Natural Environment Research Council (NERC); NERC British Antarctic Survey</t>
  </si>
  <si>
    <t>Vanhove, S (corresponding author), State Univ Ghent, Dept Morphol Systemat &amp; Ecol, Marine Biol Sect, KL Ledeganckstr 35, B-9000 Ghent, Belgium.</t>
  </si>
  <si>
    <t>10.1017/S0025315400041539</t>
  </si>
  <si>
    <t>ZW625</t>
  </si>
  <si>
    <t>WOS:000074430400004</t>
  </si>
  <si>
    <t>Seppelt, RD; Nimis, PL; Castello, M</t>
  </si>
  <si>
    <t>The genus sarcogyne (Agarosporaceae) in Antarctica</t>
  </si>
  <si>
    <t>LICHENOLOGIST</t>
  </si>
  <si>
    <t>EPILITHIC LICHENS; XANTHORIA</t>
  </si>
  <si>
    <t>Sarcogyne angulosa C. W. Dodge &amp; G. E. Baker, described as an endemic from continental Antarctic localities, is reduced to synonymy with S. privigna (Ach.) A. Massal., a species known from Europe, North America, North Africa and Saudi Arabia, and now Antarctica. The relationship to Polysporina simplex (Davies) Vezda is discussed. It is suggested that the name Sarcogyne grisea Dodge, also described as an Antarctic endemic, should be abandoned. Sarcogyne medusula Dodge is transferred to Lecidea [Lecidea medusula (C. W. Dodge) Hertel comb, nov.], a Maritime-and Subantarctic species. (C) 1998 The British Lichen Society.</t>
  </si>
  <si>
    <t>Australian Antarctic Div, Kingston, Tas 7050, Australia; Dipartimento Biol, I-43127 Trieste, Italy</t>
  </si>
  <si>
    <t>Seppelt, RD (corresponding author), Australian Antarctic Div, Channel Highway, Kingston, Tas 7050, Australia.</t>
  </si>
  <si>
    <t>Nimis, Pier Luigi/JWC-8829-2024</t>
  </si>
  <si>
    <t>CASTELLO, Miris/0000-0002-5081-0365</t>
  </si>
  <si>
    <t>0024-2829</t>
  </si>
  <si>
    <t>Lichenologist</t>
  </si>
  <si>
    <t>10.1006/lich.1998.0135</t>
  </si>
  <si>
    <t>Plant Sciences; Mycology</t>
  </si>
  <si>
    <t>ZV840</t>
  </si>
  <si>
    <t>WOS:000074346700006</t>
  </si>
  <si>
    <t>Carlson, CA; Ducklow, HW; Hansell, DA; Smith, WO</t>
  </si>
  <si>
    <t>Organic carbon partitioning during spring phytoplankton blooms in the Ross Sea polynya and the Sargasso Sea</t>
  </si>
  <si>
    <t>WESTERN BRANSFIELD-STRAIT; BELGIAN COASTAL WATERS; NORTH-ATLANTIC OCEAN; MARGINAL ICE-ZONE; PHAEOCYSTIS-POUCHETII; BACTERIAL PRODUCTION; GERMAN BIGHT; WEDDELL SEA; SHORT-TERM; MARINE</t>
  </si>
  <si>
    <t>In this study we evaluate the partitioning of organic carbon between the particulate and dissolved pools during spring phytoplankton blooms in the Ross Sea, Antarctica, and the Sargasso Sea. As part of a multidisciplinary project in the Ross Sea polynya we investigated the dynamics of the dissolved organic carbon (DOC) pool and the role it played in the carbon cycle during the 1994 spring phytoplankton bloom. Phytoplankton biomass during the bloom was dominated by an Antarctic Phaeocystis sp. We determined primary productivity (PP; via H(14)CO(3)(-) incubations), particulate organic carbon (POC), bacterial productivity (BP; via [(3)H]thymidine incorporation), and DOC during two occupations of 76 degrees 30'S from 175 degrees W to 168 degrees E. Results from this bloom are compared to blooms observed in the Sargasso Sea in the vicinity of the Bermuda Atlantic Time-Series Study station (BATS). We present data that demonstrate clear differences in the production, biolability, and accumulation of DOC between the two ocean regions. Despite four- to fivefold greater PP in the Ross Sea, almost an order of magnitude less DOC (mmol m(-2)) accumulated during the Ross Sea bloom compared to the Sargasso Sea blooms. In the Ross Sea 89% (similar to 1 mol C m-2) of the total organic carbon (TOC) that accumulated during the bloom was partitioned as POC, with the remaining 11% (similar to 0.1 mol C m(-2)) partitioned as DOC. In contrast, a mean of 86% (0.75-1.0 mol m(-2)) of TOC accumulated as DOC during the 1992, 1993, and 1995 blooms in the Sargasso Sea, with as little as 14% (0.08-0.29 mol C m(-2)) accumulating as POC. Although a relatively small portion of the fixed carbon was produced as DOC in the Ross Sea, the bacterial carbon demand indicated that a qualitatively more labile carbon was produced in the Ross Sea compared to the Sargasso Sea. There are fundamental differences in organic carbon partitioning between the two systems that may be controlled by plankton community structure and food-web dynamics.</t>
  </si>
  <si>
    <t>Bermuda Biol Stn Res, St Georges GEO1, Bermuda; Coll William &amp; Mary, Virginia Inst Marine Sci, Gloucester Point, VA 23062 USA; Univ Tennessee, Dept Ecol &amp; Evolutionary Biol, Knoxville, TN 37996 USA</t>
  </si>
  <si>
    <t>William &amp; Mary; Virginia Institute of Marine Science; University of Tennessee System; University of Tennessee Knoxville</t>
  </si>
  <si>
    <t>Carlson, CA (corresponding author), Bermuda Biol Stn Res, Ferry Reach, St Georges GEO1, Bermuda.</t>
  </si>
  <si>
    <t>Hansell, Dennis A./AAC-1271-2019</t>
  </si>
  <si>
    <t>Hansell, Dennis A./0000-0001-9275-3445</t>
  </si>
  <si>
    <t>10.4319/lo.1998.43.3.0375</t>
  </si>
  <si>
    <t>ZU612</t>
  </si>
  <si>
    <t>WOS:000074215500001</t>
  </si>
  <si>
    <t>Rabouille, C; Gaillard, JF; Relexans, JC; Treguer, P; Vincendeau, MA</t>
  </si>
  <si>
    <t>Recycling of organic matter in Antarctic sediments: A transect through the polar front in the Southern Ocean (Indian Sector)</t>
  </si>
  <si>
    <t>DEEP-SEA SEDIMENTS; MARINE-SEDIMENTS; EARLY DIAGENESIS; CARBON FLUX; OXYGEN-CONSUMPTION; NORTH PACIFIC; EQUATORIAL PACIFIC; SULFATE REDUCTION; BIOGENIC SILICA; BENTHIC FLUXES</t>
  </si>
  <si>
    <t>Sediments from the Polar Front Zone were sampled in the Indian Sector of the Antarctic Ocean as part of the French JGOFS expedition Antares 1. The first porewater distributions of O(2) and NO(3)(-) and organic carbon data in the solid phase in this part of the ocean were used to model the recycling of organic matter in sediments. The data are described by a model containing two types of degradable organic matter with distinct reactivities. We estimate that the reactivity of the most labile organic carbon is very close to that of fresh organic matter with an average C:N ratio of 7. We estimate that particulate organic carbon fluxes deposited at the sediment-water interface range between 0.2 and 0.8 mol C m(-2) y(-1), with two peaks near the Polar Front and the Subantarctic Front. The flux of organic carbon deposited at the sediment-water interface is unusually high and represents similar to 10-20% of estimated primary production. From these findings, we conclude that production in the pelagic zone of this region is strongly linked to deposition and recycling in the sediment.</t>
  </si>
  <si>
    <t>CEA, CNRS, Ctr Faibles Radioact, Lab Mixte, F-91190 Gif Sur Yvette, France; Northwestern Univ, Dept Civil Engn, Evanston, IL 60208 USA; Univ Bordeaux 1, CNRS, URA 197, Lab Oceanol Biol, F-33405 Talence, France; Univ Bretagne Occidentale, Inst Univ Europeen Mer, F-29285 Brest, France</t>
  </si>
  <si>
    <t>CEA; Centre National de la Recherche Scientifique (CNRS); Universite Paris Saclay; Northwestern University; Centre National de la Recherche Scientifique (CNRS); Universite de Bordeaux; Universite de Bretagne Occidentale; Institut Universitaire Europeen de la Mer (IUEM)</t>
  </si>
  <si>
    <t>Rabouille, C (corresponding author), CEA, CNRS, Ctr Faibles Radioact, Lab Mixte, Ave Terrasse, F-91190 Gif Sur Yvette, France.</t>
  </si>
  <si>
    <t>Gaillard, Jean-Francois/B-6981-2009; Treguer, Paul/H-6064-2012; RABOUILLE, Christophe/M-8806-2013; Gaillard, Jean-François/E-9445-2013</t>
  </si>
  <si>
    <t>RABOUILLE, Christophe/0000-0003-1211-717X; Gaillard, Jean-François/0000-0002-8276-6418</t>
  </si>
  <si>
    <t>10.4319/lo.1998.43.3.0420</t>
  </si>
  <si>
    <t>WOS:000074215500005</t>
  </si>
  <si>
    <t>Neale, PJ; Cullen, JJ; Davis, RF</t>
  </si>
  <si>
    <t>Inhibition of marine photosynthesis by ultraviolet radiation: Variable sensitivity of phytoplankton in the Weddell-Scotia Confluence during the austral spring</t>
  </si>
  <si>
    <t>BIOLOGICAL WEIGHTING FUNCTION; SHORT-TERM VARIATIONS; ANTARCTIC OZONE HOLE; SOUTHERN-OCEAN; BRANSFIELD STRAIT; ACTION SPECTRA; UV-RADIATION; B RADIATION; DEPLETION; ICE</t>
  </si>
  <si>
    <t>To assess the potential impacts of ozone depletion on photosynthesis in the Southern Ocean, we need to know more about effects of ultraviolet radiation (UV) on phytoplankton in Antarctic waters, where, in addition to variable stratospheric ozone, temporal and regional differences in vertical mixing might influence photosynthesis and photoacclimation of phytoplankton assemblages. Toward this end, we quantified the responses to UV of Antarctic phytoplankton in the Weddell-Scotia Confluence during the austral spring of 1993. Experimental results on spectral sensitivity of photosynthesis were fit statistically to a model-that incorporated uninhibited photosynthesis as a function of photosynthetically available radiation (PAR), wavelength-dependence of inhibition, and the kinetics of photosynthesis during exposure to UV. In contrast to previous results on UV-induced photoinhibition in a diatom culture at 20 degrees C, natural phytoplankton from open waters of the Antarctic showed no ability to counter UV-induced inhibition of photosynthesis during exposures of 0.5-4 h: the rate of photosynthesis declined exponentially as a function of cumulative exposure, and inhibition was not reversed during incubations for up to 3.5 h under benign conditions. The results suggest that nonlinear exposure-response relationships are necessary for modeling UV-dependent photosynthesis in the surface mixed layer of the springtime Weddell-Scotia Confluence. Consequently, we modified our laboratory-based model of photosynthesis and photoinhibition to describe photoinhibition as a nonlinear function of biologically weighted cumulative exposure to damaging irradiance. The model described similar to 90% of the spectrally dependent experimental variation in photosynthetic rate, and yielded six biological weighting functions (BWFs) for phytoplankton in the Weddell-Scotia Confluence. Assemblages from different stations showed substantial variability in sensitivity to UV. Tolerance of UV was generally highest in assemblages from shallower mixed layers, which presumably had experienced higher irradiance, including W, prior to sampling. The BWFs of assemblages that seemed acclimated to low irradiance showed the highest sensitivity to UV yet seen for Southern Ocean phytoplankton. The pattern of UV sensitivity was consistent with acclimation, but also with selection against less tolerant species.</t>
  </si>
  <si>
    <t>Smithsonian Environm Res Ctr, Edgewater, MD 21037 USA; Dalhousie Univ, Dept Oceanog, Halifax, NS B3H 4J1, Canada; Bigelow Lab Ocean Sci, W Boothbay Harbor, ME 04575 USA</t>
  </si>
  <si>
    <t>Smithsonian Institution; Smithsonian Environmental Research Center; Dalhousie University; Bigelow Laboratory for Ocean Sciences</t>
  </si>
  <si>
    <t>Cuillen, John/AAE-1371-2019; Cullen, John J/B-6105-2008; Neale, Patrick/A-3683-2012</t>
  </si>
  <si>
    <t>Cuillen, John/0000-0002-7740-0999;</t>
  </si>
  <si>
    <t>10.4319/lo.1998.43.3.0433</t>
  </si>
  <si>
    <t>WOS:000074215500006</t>
  </si>
  <si>
    <t>Watkins, JL; Murray, AWA</t>
  </si>
  <si>
    <t>Layers of Antarctic krill, Euphausia superba:: are they just long krill swarms?</t>
  </si>
  <si>
    <t>SIZE; ICE; ABUNDANCE; STRENGTH; BEHAVIOR; BIOMASS; ISLAND; PATCH; DANA; BAY</t>
  </si>
  <si>
    <t>Antarctic krill, Euphausia superba Dana, a major component in the southern ocean food web, typically occur in aggregations that range from small? discrete swarms and schools through to layers and superswarms that extend horizontally for several kilometres. A large Longhurst-Hardy plankton recorder has been used to obtain high-resolution serial samples from within two layers (up to 4 km in length) that were found near Elephant Island, north of the Antarctic Peninsula. Krill length, sex and maturity stage, net and acoustic estimates of number density are shown to vary significantly within these large layers. The variation occurring within a single layer is comparable with that occurring in a set of 38 swarms sampled contemporaneously with the layers. Thus, unlike a krill swarm, a whole krill layer may account for a substantial amount of the variation in the local krill population? although individual pal-ts of the layer cannot be considered in this way. The layers play an important role in the ecology of the krill within the area. Firstly, these large layers may contain a significant proportion of the biomass within an area. Secondly, the structure of the layers gives some insight into the ways in which krill swarm formation and dispersal may be occurring.</t>
  </si>
  <si>
    <t>10.1007/s002270050316</t>
  </si>
  <si>
    <t>ZU223</t>
  </si>
  <si>
    <t>WOS:000074174600005</t>
  </si>
  <si>
    <t>Antarctic rubbish on the agenda</t>
  </si>
  <si>
    <t>ZZ040</t>
  </si>
  <si>
    <t>WOS:000074689400009</t>
  </si>
  <si>
    <t>Savours, A</t>
  </si>
  <si>
    <t>Trial by ice: The Antarctic journals of John King Davis</t>
  </si>
  <si>
    <t>MARINERS MIRROR</t>
  </si>
  <si>
    <t>SOC NAUTICAL RESEARCH</t>
  </si>
  <si>
    <t>NATIONAL MARITIME MUSEUM GREENWICH, LONDON, ENGLAND SE10 9NF</t>
  </si>
  <si>
    <t>0025-3359</t>
  </si>
  <si>
    <t>Mar. Mirror</t>
  </si>
  <si>
    <t>ZN486</t>
  </si>
  <si>
    <t>WOS:000073650700030</t>
  </si>
  <si>
    <t>Genge, MJ; Grady, MM</t>
  </si>
  <si>
    <t>Melted micrometeorites from Antarctic ice with evidence for the separation of immiscible Fe-Ni-S liquids during entry heating</t>
  </si>
  <si>
    <t>INTERPLANETARY DUST; COEFFICIENTS; PARTICLES; ELEMENTS; CARBON</t>
  </si>
  <si>
    <t>We report the discovery of four large (&gt;50 mu m) cosmic spherules (CSs) and a single scoriaceous micrometeorite (SMM) that contain evidence for the separation of immiscible Fe-Ni-S liquids during atmospheric entry heating. The particles contain segregated Fe-rich regions dominated by either Ni-S-bearing Fe-oxides or iron sulphides and have textural relations that suggest these separated from the silicate portions of the particles as metallic liquids. The oxides, which may be hydrous, are thought to result from alteration of metal and sulphide. The compositions of the silicate portions of the CSs are equivalent to spherules without Fe-rich regions, implying that metallic liquids are exsolved during the heating of most spherules, but completely separate. The single SMM has a very different composition from other scoriaceous particles, and the occurrence of an exsolved metallic liquid probably indicates extreme reduction during entry heating. The pyrolysis of carbonaceous materials is the most likely explanation for reduction and suggests that the precursor material of this particle was unusually C-rich. This SMM might be, therefore, an appropriate candidate for a large melted anhydrous or smectite interplanetary dust particle (IDP). The exsolution of immiscible Fe-Ni-S liquids during entry heating will result in systematic changes in the compositions of the remaining silicate melt.</t>
  </si>
  <si>
    <t>Nat Hist Museum, Dept Mineral, London SW7 5BD, England</t>
  </si>
  <si>
    <t>Genge, MJ (corresponding author), Nat Hist Museum, Dept Mineral, Cromwell Rd, London SW7 5BD, England.</t>
  </si>
  <si>
    <t>Grady, Monica/0000-0002-4055-533X</t>
  </si>
  <si>
    <t>10.1111/j.1945-5100.1998.tb01647.x</t>
  </si>
  <si>
    <t>ZQ279</t>
  </si>
  <si>
    <t>WOS:000073841400004</t>
  </si>
  <si>
    <t>Lin, Y; Kimura, M</t>
  </si>
  <si>
    <t>Petrographic and mineralogical study of new EH melt rocks and a new enstatite chondrite grouplet</t>
  </si>
  <si>
    <t>CLASSIFICATION; HISTORY; ORIGIN</t>
  </si>
  <si>
    <t>Enstatite chondrites are classified into EH and EL groups, and some of them were melted once. In this paper, we report petrography and mineral chemistry of five new Antarctic enstatite chondrites. Yamato 793225 is characterized by intermediate properties between the EH and EL groups and probably represents a new grouplet of enstatite chondrites. The three paired meteorites (Y-8404, Y-8414 and Y-86004) may have cooled rapidly near the surface of the parent body as impact EH melt rocks. Yamato 82189 is also classified as EH melt rock, but it experienced slow cooling as did Y-793225. Yamato 82189 contains the first occurrence of phlogopite in enstatite meteorites.</t>
  </si>
  <si>
    <t>Ibaraki Univ, Fac Sci, Inst Astrophys &amp; Planetary Sci, Mito, Ibaraki 310, Japan; Chinese Acad Sci, Guangzhou Inst Geochem, Guangzhou 510640, Peoples R China</t>
  </si>
  <si>
    <t>Ibaraki University; Chinese Academy of Sciences; Guangzhou Institute of Geochemistry, CAS</t>
  </si>
  <si>
    <t>Lin, Y (corresponding author), Ibaraki Univ, Fac Sci, Inst Astrophys &amp; Planetary Sci, Mito, Ibaraki 310, Japan.</t>
  </si>
  <si>
    <t>Lin, Yangting/A-8845-2015; lin, yt/IQT-6771-2023</t>
  </si>
  <si>
    <t>10.1111/j.1945-5100.1998.tb01654.x</t>
  </si>
  <si>
    <t>WOS:000073841400011</t>
  </si>
  <si>
    <t>Ciaralli, L; Giordano, R; Lombardi, G; Beccaloni, E; Sepe, A; Costantini, S</t>
  </si>
  <si>
    <t>Antarctic marine sediments: Distribution of elements and textural characters</t>
  </si>
  <si>
    <t>MICROCHEMICAL JOURNAL</t>
  </si>
  <si>
    <t>8th Hungarian-Italian Symposium on Spectrochemistry - Analytical Techniques in Environmental Chemistry at the 40th Annual Meeting of the Hungarian-Spectrochemical-Society</t>
  </si>
  <si>
    <t>JUN 29-JUL 04, 1997</t>
  </si>
  <si>
    <t>KOSSUTH UNIV, DEBRECEN, HUNGARY</t>
  </si>
  <si>
    <t>KOSSUTH UNIV</t>
  </si>
  <si>
    <t>Antarctica; marine sediments; elements</t>
  </si>
  <si>
    <t>TRACE-METALS; BAY</t>
  </si>
  <si>
    <t>The analysis of trace metals and their distribution in marine sediments is a very important step toward understanding geochemical and environmental processes and their possible changes due to anthropogenic activities. The present work reports results concerning the distribution of some major (Al), (Fe), and trace (Be, Cd, Cr, Mn, Ni, Pb, Sn, Zn) elements in Antarctic marine sediments. Chemical data were evaluated before and after extraction with 0.5 N HCl, taking into account the textural character of the sediments. The mean values of total metals in the &lt;2-mm granulometric fraction were (mg/kg) (Al) 56,100 +/- 3900; (Be) 2.04 +/- 0.25; (Cd) 0.26 +/- 0.16; (Cr) 20.3 +/- 8.3; (Fe) 16,400 +/- 4800; (Mn) 359 +/- 108; (Ni) 6.31 +/- 3.5; (Pb) 20.7 +/- 2.8; (Sn) 2.12 +/- 0.71; and (Zn) 42.3 +/- 10.4. With the exception of Be, all the elements showed higher concentrations in the fraction &lt;63 mu m The efficiency of extraction with 0.5 N HCl was generally low, as expected for unpolluted sediments. The relative percentage extraction of various elements was similar in the two fractions, with the exception of lead which presented a sensibly increased value in the fraction &lt;63 mu m. The results indicate that our samples are typical of areas not affected by anthropogenic inputs of elements and that potential polluting compounds are not bound within the structure of clay minerals. (C) 1998 Academic Press.</t>
  </si>
  <si>
    <t>Ist Super Sanita, Appl Toxicol Dept, I-00161 Rome, Italy; Univ La Sapienza, I-00185 Rome, Italy</t>
  </si>
  <si>
    <t>Istituto Superiore di Sanita (ISS); Sapienza University Rome</t>
  </si>
  <si>
    <t>Ciaralli, L (corresponding author), Ist Super Sanita, Appl Toxicol Dept, Viale Regina Elena 299, I-00161 Rome, Italy.</t>
  </si>
  <si>
    <t>0026-265X</t>
  </si>
  <si>
    <t>MICROCHEM J</t>
  </si>
  <si>
    <t>Microchem J.</t>
  </si>
  <si>
    <t>10.1006/mchj.1998.1586</t>
  </si>
  <si>
    <t>ZR871</t>
  </si>
  <si>
    <t>WOS:000074023100007</t>
  </si>
  <si>
    <t>Caroli, S; Senofonte, O; Caimi, S; Robouch, P; Pauwels, J; Kramer, GN</t>
  </si>
  <si>
    <t>Certified reference materials for research in Antarctica: The case of marine sediment</t>
  </si>
  <si>
    <t>CERTIFICATION</t>
  </si>
  <si>
    <t>A multielemental certified reference material based on Antarctic marine sediment was prepared in the framework of the Italian Programma Nazionale per la Ricerca in Antartide (PNRA, National Program for Research in Antarctica) and was coordinated by the Istituto Superiors di Sanita (ISS, National Institute of Health). The sediment was collected during the 9th Italian Expedition (1993-1994) in Antarctica in Terra Nova Bay (Ross Sea) at a depth of 80 m, stored at -200C in polyethylene containers, and shipped to the ISS. The sediment was subjected to preliminary treatment at the Institute for Reference Materials and Measurements (IRMM, Joint Research Centre of the European Commission, Geel Establishment, Geel, Belgium). This treatment consisted of sieving, drying, jet milling, sampling, moisture determination, particle size determination, and microscopic examination. The final product turned out to contain mostly particles smaller than 90 mu m (97% of total mass); particles larger than 150 mu m were practically absent. The fraction between 90 and 150 mu m comprised mainly organic material homogeneously distributed over the sediment. Five hundred two brown glass bottles (polyethylene insert and plastic screw cap; capacity 120 ml) could be thus filled with this material, each bottle containing about 75 g of the sediment. The certification project was accomplished with the active participation of eight internationally reputed laboratories from various countries (Belgium, Denmark, Hungary, Italy, Spain, and United States). The instrumental techniques resorted to in the certification exercise included cold vapor atomic absorption spectrometry, electrothermal atomization atomic absorption spectrometry, flame atomic absorption spectrometry, inductively coupled plasma atomic emission spectrometry, inductively coupled plasma mass spectrometry, isotope dilution inductively coupled plasma mass spectrometry, isotope dilution mass spectrometry, neutron activation analysis, solid sampling Zeeman electrothermal atomization atomic absorption spectrometry, and Zeeman electrothermal atomization atomic absorption spectrometry. The certified values established for some trace elements are as follows: Al, 67.1 +/- 3.3 mg/g; As, 4.41 +/- 1.06 mu G/G; Cd, 0.538 +/- 0.027 mu g/g; Cr, 42.1 +/- 3.4 mu g/g; Co, 6.87 +/- 0.31 mu g/g; Fe, 24.4 +/- 0.7 mg/g; Mn, 446 +/- 19 mu g/g; Ni, 9.56 +/- 1.05 mu g/g; Pb, 21.0 +/- 2.9 mu g/g; Zn, 53.3 +/- 2.7 mu g/g. In turn, additional elements were quantified by some participants. Homogeneity of the powdered sediment for the various analytes is such that intakes as low as 100 mg still show no deviation from the nominal values larger than the attached uncertainty. Intakes of 200 mg are, however, recommended to minimize any possible variations in concentration. The product has an average moisture content of 0.30 +/- 0.03% on delivery. (C) 1998 Academic Press.</t>
  </si>
  <si>
    <t>Ist Super Sanita, I-00161 Rome, Italy; Commiss European Communities, Joint Res Ctr, Inst Reference Mat &amp; Measurements, B-2440 Geel, Belgium</t>
  </si>
  <si>
    <t>Istituto Superiore di Sanita (ISS); European Commission Joint Research Centre; EC JRC Institute for Reference Materials &amp; Measurements (IRMM)</t>
  </si>
  <si>
    <t>Caroli, S (corresponding author), Ist Super Sanita, Viale Regina Elena 299, I-00161 Rome, Italy.</t>
  </si>
  <si>
    <t>Caimi, Stefano/HIR-3344-2022</t>
  </si>
  <si>
    <t>Caimi, Stefano/0000-0001-5338-4026</t>
  </si>
  <si>
    <t>1095-9149</t>
  </si>
  <si>
    <t>10.1006/mchj.1998.1584</t>
  </si>
  <si>
    <t>WOS:000074023100013</t>
  </si>
  <si>
    <t>Stephenson, SL; Laursen, GA; Landolt, JC; Seppelt, RD</t>
  </si>
  <si>
    <t>Dictyostelium mucoroides from subantarctic Macquarie Island</t>
  </si>
  <si>
    <t>MYCOLOGIA</t>
  </si>
  <si>
    <t>dictyostelids; ecology; south polar region</t>
  </si>
  <si>
    <t>CELLULAR SLIME-MOLDS; USA</t>
  </si>
  <si>
    <t>During the period of early February to early April of 1995, samples for isolation of dictyostelid cellular slime molds were collected from representative examples of all major types of plant communities found on subantarctic Macquarie Island. These included tussock grassland, short grassland, herbfield, fernbrake, mire, and feldmark communities. There are apparently no previous reports of dictyostelids from the south polar region, but Dictyostelium mucoroides was recovered from soil/litter and/ or recovered from soil/litter and/or litter samples collected in tussock grassland, herbfield, and fernbrake communities. Densities were almost invariably low (&lt;50 colony-forming units/g), but one study site yielded 135 colony-forming units/g. The most diverse plant communities on Macquarie are mixed herbfield communities that occur on raised coastal terraces, and the majority of positive samples were collected from these communities. No dictyostelids were recovered from samples collected at higher elevations (generally &gt;200 m) on the main plateau of the island. In general, both frequency of occurrence and density were higher for samples of moist, decomposing litter found around land sometimes still attached to) the bases of such plants as Pleurophyllum hookeri and Stilbocarpa polaris than for samples collected from the soil/litter interface zone.</t>
  </si>
  <si>
    <t>Fairmont State Coll, Dept Biol, Fairmont, WV 26554 USA; Univ Alaska, Dept Biol &amp; Wildlife, Fairbanks, AK 99775 USA; Shepherd Coll, Dept Biol, Shepherdstown, WV 25443 USA; Australian Antarctic Div, Kingston, Tas 7050, Australia</t>
  </si>
  <si>
    <t>University of Alaska System; University of Alaska Fairbanks; Australian Antarctic Division</t>
  </si>
  <si>
    <t>Stephenson, SL (corresponding author), Fairmont State Coll, Dept Biol, Fairmont, WV 26554 USA.</t>
  </si>
  <si>
    <t>NEW YORK BOTANICAL GARDEN</t>
  </si>
  <si>
    <t>BRONX</t>
  </si>
  <si>
    <t>PUBLICATIONS DEPT, BRONX, NY 10458 USA</t>
  </si>
  <si>
    <t>0027-5514</t>
  </si>
  <si>
    <t>Mycologia</t>
  </si>
  <si>
    <t>10.2307/3761394</t>
  </si>
  <si>
    <t>ZT307</t>
  </si>
  <si>
    <t>WOS:000074071300004</t>
  </si>
  <si>
    <t>Chernyakova, AM; Stunzhas, PA</t>
  </si>
  <si>
    <t>The hydrochemical structure of the waters in the Pacific sector of the Antarctic</t>
  </si>
  <si>
    <t>Hydrochemical data from WOCE section S4(P), carried out in February-March 1992 along 67 degrees S in the Pacific Sector of the Antarctic, were analyzed with the purpose to check modern conception of hydrologic-hydrochemical structure of Antarctic waters in this region. The variability of hydrochemical parameters along the section is governed by general features of circulation in the southern part of the Pacific, together with regional and local peculiarities of the section. The eastern part of the region was occupied by old waters of Antarctic Circumpolar Current (ACC) that was marked by high concentration of silicum (150 mu M/kg) and low content of oxygen (4 ml/l). In the western part of the region a weak Ross gyre was recorded. Hydrochemical parameters were used as tracers for distinguishing different water masses, frontal boundaries of the Ross gyre and the regions of new bottom waters formations in the Ross sea and boundaries of their distribution.</t>
  </si>
  <si>
    <t>Chernyakova, AM (corresponding author), PP Shirshov Oceanol Inst, Moscow, Russia.</t>
  </si>
  <si>
    <t>101PW</t>
  </si>
  <si>
    <t>WOS:000074878200007</t>
  </si>
  <si>
    <t>Kosobokova, KN</t>
  </si>
  <si>
    <t>New data on the life cycle of Calanus glacialis in the White Sea (based on the seasonal observations of the development of its genital system)</t>
  </si>
  <si>
    <t>EGG-PRODUCTION; GREENLAND SEA; FINMARCHICUS; REPRODUCTION; ZOOPLANKTON; STRATEGIES; MATURATION; PROPINQUUS; COPEPODS</t>
  </si>
  <si>
    <t>Seasonal variations in gonad maturation and sex ratio in CVs and adults of the Arctic copepod Calanus glacialis were studied in the White Sea. Sex differentiation, gonad maturation in CV and their moulting to adults take place in late autumn-winter, when younger copepodite stages CIII-IV are overwintering in diapause. Maturation of males precedes that of females. Maximum proportion of adult males is found in October-November, while young immature females appear from CV and start to mature in February-March. Both in CV and adult C. glacialis, the sex-ratio favoures females in all seasons. Males are very scarce between March and August. The maximum sex ratio reaches 1 male per 2 females in October. Onset of the gonad maturation in females is observed two months before the onset of the spring phytoplankton bloom and spawning of Calanus (April-May). The duration of the reproductive period is also about two months. The termination of the C. glacialis reproduction is observed in the White Sea, when the water temperature of the surface layer reaches +5 degrees C. The warming-up of the surface water layer forces females to migrate downward to the layer with lower temperature. Several spent females do not die after the end of the reproductive period and appear to be able to overwinter again. The results of the study of the gonadal states of females during the post-reproductive period between August and November and in the mid winter, in February, as well as the results of the long-term experimental cultivation of females in laboratory indicate that C. glacialis females are able to reproduce a second time during their life. Similarities and differences in the reproductive cycles and reproductive strategies of several Arctic and Antarctic cold-water filter-feeding copepods are discussed.</t>
  </si>
  <si>
    <t>Kosobokova, KN (corresponding author), PP Shirshov Oceanol Inst, Moscow, Russia.</t>
  </si>
  <si>
    <t>Kosobokova, Ksenia/P-3363-2014</t>
  </si>
  <si>
    <t>Kosobokova, Ksenia/0000-0002-3039-4480</t>
  </si>
  <si>
    <t>WOS:000074878200009</t>
  </si>
  <si>
    <t>Bulychev, AA; Gasperini, L; Gilod, DA; Zitellini, N; Kulikov, EY; Lodolo, E; Ligi, M; Mazarovich, AO; Sokolov, SY; Schreider, AA</t>
  </si>
  <si>
    <t>Spreading of the south west Indian ridge on the basis of data of detailed geomagnetic study in the area near Bouvet island</t>
  </si>
  <si>
    <t>The main characteristics of searfloor topography, acoustic basement, uncompressed sediments, magnetic field anomaly, magnetization of inverse magnitoactive layer and geochronology of the Bouvet middle ocean ridge for the recent 2 min years are discribed. The features of the evolution of structural margines of African and Antarctic lithosphere plates are examined. The Bouvet ridge axis zone is characterised by the presence of three neovolcanic centers, whith confirm the discrete supply of new ocean crust material during Brunes epoch. Spreading in Brunes epoch wasn't constant and changed its velocities from 1.2-1.3 cm/year in the south-eastern and north-western parts to 0.8 cm/year in the central part of the Bouvet ridge.</t>
  </si>
  <si>
    <t>Moscow MV Lomonosov State Univ, Moscow, Russia; CNR, Inst Marine Biol, I-40126 Bologna, Italy; Trieste Expt Geophys Observ, Trieste, Italy; Russian Acad Sci, Inst Geol, Moscow, Russia; PP Shirshov Oceanol Inst, Moscow, Russia</t>
  </si>
  <si>
    <t>Lomonosov Moscow State University; Consiglio Nazionale delle Ricerche (CNR); Russian Academy of Sciences; Geological Institute, Russian Academy of Sciences; Russian Academy of Sciences; Shirshov Institute of Oceanology</t>
  </si>
  <si>
    <t>Bulychev, AA (corresponding author), Moscow MV Lomonosov State Univ, Moscow, Russia.</t>
  </si>
  <si>
    <t>Sokolov, Sergey Y/S-6505-2018; Gasperini, Luca/B-8796-2017; Ligi, Marco/G-4853-2012; Zitellini, Nevio/N-8202-2015</t>
  </si>
  <si>
    <t>Ligi, Marco/0000-0002-5098-5907; Zitellini, Nevio/0000-0001-9920-8968</t>
  </si>
  <si>
    <t>WOS:000074878200018</t>
  </si>
  <si>
    <t>Bonn, WJ; Gingele, FX; Grobe, H; Mackensen, A; Futterer, DK</t>
  </si>
  <si>
    <t>Palaeoproductivity at the Antarctic continental margin: opal and barium records for the last 400 ka</t>
  </si>
  <si>
    <t>antarctic continental margin; Late Quaternary; palaeoproductivity; barium; opal</t>
  </si>
  <si>
    <t>CENTRAL EQUATORIAL PACIFIC; SOUTHEASTERN WEDDELL SEA; SOUTHERN-OCEAN; BIOGENIC-SILICA; DEEP-SEA; PARTICULATE MATTER; ATMOSPHERIC CO2; ATLANTIC SECTOR; PARTICLE-FLUX; WATER COLUMN</t>
  </si>
  <si>
    <t>Records of biogenic opal and barium were measured in sediment cores at the Antarctic continental margin in the area of the Weddell, Lazarev and Cosmonaut seas. These records provide a qualitative and quantitative tool to estimate changes in palaeoproductivity over the last 400 ka. The stratigraphy of the investigated cores is calibrated to a lithostratigraphy, adjusted to a stable isotope record from the eastern Weddell Sea, which is supported by a Th-dating method. We present evidence that interglacial productivity along the Antarctic continental margin is twice as high compared to subantarctic sites near South Orkney. A. glacial/interglacial pattern with high productivity during peak warm stages can be observed back to 400 ka. High interglacial productivity is linked to a reduced sea-ice coverage, which is regulated by the heat flux introduced by North Atlantic Deep Water (NADW) to the Antarctic Ocean. Generally, good correlations between the barium and opal records of the sediment cores indicate that dissolution of opal in the water column and the sediment does not obscure the surface productivity signal. Therefore, in this area biogenic opal in combination with other proxies, can be used for palaeoproductivity estimates. Palaeoproductivity is also assessed quantitatively from the barium record using the approaches of Dymond et al. (Dymond, J., Suess, E., Lyle, M., 1992. Barium in deep-sea sediments: a geochemical proxy for paleoproductivity. Paleoceanography 7, 163-181) and Francois et al. (Francois, R., Honjo, S., Manganini, S.J., Ravizza, G.E., 1995. Biogenic barium fluxes to the deep sea: implications for paleoproductivity reconstructions. Glob. Biochem. Cycles 9(2), 289-303). Palaeoproductivity rates obtained by both methods show a good temporal correspondence. In peak warm stages, higher values are computed with the approach of Dymond et al. (1992). Though some barium may be provided by lateral advection of material, as indicated by Th data near South Orkney, both methods provide values, which are representative of a high-productivity area. They are drastically reduced during glacial times. The extent and duration of sea-ice coverage and the persistence of coastal polynyas is considered to be of primary importance in controlling the flux of biogenic material to sediments of the Antarctic continental margin. (C) 1998 Elsevier Science B.V. All rights reserved.</t>
  </si>
  <si>
    <t>Alfred Wegener Inst Polar &amp; Marine Res, D-27515 Bremerhaven, Germany; Baltic Sea Res Inst, D-18119 Rostock, Germany</t>
  </si>
  <si>
    <t>Helmholtz Association; Alfred Wegener Institute, Helmholtz Centre for Polar &amp; Marine Research; Leibniz Institut fur Ostseeforschung Warnemunde</t>
  </si>
  <si>
    <t>Bonn, WJ (corresponding author), Alfred Wegener Inst Polar &amp; Marine Res, Columbusstr, D-27515 Bremerhaven, Germany.</t>
  </si>
  <si>
    <t>franz.gingele@io-warnemuende.de</t>
  </si>
  <si>
    <t>Grobe, Hannes/0000-0002-4133-2218; Mackensen, Andreas/0000-0002-5024-4455</t>
  </si>
  <si>
    <t>10.1016/S0031-0182(97)00144-2</t>
  </si>
  <si>
    <t>ZN318</t>
  </si>
  <si>
    <t>WOS:000073633900005</t>
  </si>
  <si>
    <t>Ehrmann, W</t>
  </si>
  <si>
    <t>Implications of late Eocene to early Miocene clay mineral assemblages in McMurdo Sound (Ross Sea, Antarctica) on paleoclimate and ice dynamics</t>
  </si>
  <si>
    <t>Antarctica; McMurdo Sound; clay minerals; paleoclimate; glaciation; ice dynamics</t>
  </si>
  <si>
    <t>SHEET</t>
  </si>
  <si>
    <t>The clay mineral assemblages of upper Eocene to lower Miocene sediments recovered at the CIROS-1 and MSSTS-1 drill sites on the McMurdo Sound shelf, Antarctica, were analyzed in order to reconstruct the Cenozoic Antarctic paleoclimate and ice dynamics. The assemblages are dominated by smectite and illite, with minor amounts of chlorite and kaolinite. The highest smectite amounts and best smectite crystallinities occur in the upper Eocene part of CIROS-1, below 425-445 mbsf. They indicate that during their deposition, chemical weathering conditions prevailed on the nearby continent. Large parts of East Antarctica were probably ice-free at that time, but some glaciers reached the sea and contributed to the glaciomarine sedimentation. In contrast, only minor total amounts of smectite are present in Oligocene and younger sediments due to the shift to mainly physical weathering on an ice-covered Antarctic continent. However, relative smectite percentages rise to more than 60% during two late Oligocene intervals (ca. 27.5-26.2 and 25.0-24.5 Ma) and during one early Miocene interval starting at ca. 23.3 Ma. These intervals are characterized by ice masses coming probably from the south, where volcanic rocks acted as a source, as also indicated by the composition of the sand and gravel fractions. During the other intervals, the ice came from the west, where the physical erosion of basement rocks and sedimentary rocks of the Beacon Supergroup in the Transantarctic Mountains provided high illite concentrations. Because the two drill sites are only 4 km apart, their clay mineral records can be correlated. This led to a new interpretation of the Oligocene paleomagnetic data of the MSSTS-1 site and to a more detailed lithostratigraphic correlation of the Miocene parts of the cores. (C) 1998 Elsevier Science B.V. All rights reserved.</t>
  </si>
  <si>
    <t>Inst Geol Wissenschaften &amp; Geiseltalmuseum, D-06108 Halle, Germany</t>
  </si>
  <si>
    <t>Ehrmann, W (corresponding author), Inst Geol Wissenschaften &amp; Geiseltalmuseum, Domstr 5, D-06108 Halle, Germany.</t>
  </si>
  <si>
    <t>10.1016/S0031-0182(97)00138-7</t>
  </si>
  <si>
    <t>WOS:000073633900006</t>
  </si>
  <si>
    <t>Kristiansen, S; Farbrot, T; Kuosa, H; Myklestad, S; Quillfeldt, CHV</t>
  </si>
  <si>
    <t>Nitrogen uptake in the infiltration community, an ice algal community in Antarctic pack-ice</t>
  </si>
  <si>
    <t>SEA-ICE; WEDDELL-SEA; BARENTS SEA; CHEMICAL-COMPOSITION; GROWTH-RATES; LATE WINTER; PHOTOSYNTHESIS; ASSEMBLAGES; MICROALGAE; PHYTOPLANKTON</t>
  </si>
  <si>
    <t>An infiltration community was the dominating ice algal community in pack-ice off Queen Maud Land, Southern Ocean, in January 1993. The community was dominated by autotrophic processes, and the most common species were the prymnesiophyte Phaeocystis antartica and the diatoms Chaetoceros neglectus and Fragilariopsis cylindrus. The concentration of chlorophyll a was 1.3-47.9 mu g l(-1), and the inner part of the community was nitrate depleted. Uptake rates of nitrate, nitrite, ammonium, urea and amino acids were measured using N-15. Nitrate was the major nitrogen source for ice algal growth (67 +/- 6% nitrate uptake). It is suggested that % nitrate uptake in the infiltration community decreases during the growth season, from 92% during spring (literature data) to 67% during summer. Scalar irradiance in the infiltration community was high and variable. It reached ca. 2000 mu mol m(-2) s(-1) at some locations, and nitrate uptake rate was potentially photoinhibited at irradiances &gt; 500 mu mol m(-2) s(-1) Nitrate uptake rate in an average infiltration community (0.6 m of snow cover) was lowered by 13% over a 2-week period due to photoinhibition.</t>
  </si>
  <si>
    <t>Univ Oslo, Dept Biol, N-0316 Oslo, Norway; Finnish Inst Marine Res, FIN-00931 Helsinki, Finland; Norwegian Univ Sci &amp; Technol, Dept Biotechnol, N-7034 Trondheim, Norway; Univ Courses Svalbard, N-9170 Longyearbyen, Norway</t>
  </si>
  <si>
    <t>University of Oslo; Norwegian University of Science &amp; Technology (NTNU)</t>
  </si>
  <si>
    <t>Kristiansen, S (corresponding author), Univ Oslo, Dept Biol, POB 1069 Blindern, N-0316 Oslo, Norway.</t>
  </si>
  <si>
    <t>Kuosa, Harri/0000-0002-9641-9054</t>
  </si>
  <si>
    <t>10.1007/s003000050251</t>
  </si>
  <si>
    <t>ZM553</t>
  </si>
  <si>
    <t>WOS:000073551700003</t>
  </si>
  <si>
    <t>Bargagli, R; Sanchez-Hernandez, JC; Martella, L; Monaci, F</t>
  </si>
  <si>
    <t>Mercury, cadmium and lead accumulation in Antarctic mosses growing along nutrient and moisture gradients</t>
  </si>
  <si>
    <t>ELEMENTAL COMPOSITION; SOIL CONTAMINATION; VICTORIA-LAND; DEPOSITION; SNOW; ICE</t>
  </si>
  <si>
    <t>Accumulation of Mg, Cd and Pb by moss was studied in a coastal ice-free area (Edmonson Point, northern Victoria Land) in relation to the water and nutrient availability and substratum characteristics. Although metal concentrations in surface soils were among the lowest ever reported from remote areas, those of Hg and Cd in mosses were higher being in the same range as those usually reported in regional surveys in the northern hemisphere. By contrast, Antarctic mosses showed very low Pb concentrations, and no impact from local human activities was detected. Marine aerosols, seabird guano and volcanic emissions appeared to be the more probable sources of Cd and Hg. Besides atmospheric deposition, the main pathway of metals to mosses was probably through evapo-transpiration at their surface which determines an upward migration of ions and their bioaccumulation.</t>
  </si>
  <si>
    <t>Univ Siena, Dept Environm Biol, I-53100 Siena, Italy</t>
  </si>
  <si>
    <t>University of Siena</t>
  </si>
  <si>
    <t>Bargagli, R (corresponding author), Univ Siena, Dept Environm Biol, Via Cerchia 3, I-53100 Siena, Italy.</t>
  </si>
  <si>
    <t>Bargagli@unisi.it</t>
  </si>
  <si>
    <t>Monaci, Fabrizio/B-6611-2012; Sanchez-Hernandez, Juan C./E-8928-2011</t>
  </si>
  <si>
    <t>Monaci, Fabrizio/0000-0001-5489-1310; Sanchez-Hernandez, Juan C./0000-0002-8295-0979</t>
  </si>
  <si>
    <t>10.1007/s003000050252</t>
  </si>
  <si>
    <t>WOS:000073551700004</t>
  </si>
  <si>
    <t>Villora-Moreno, S</t>
  </si>
  <si>
    <t>Deep-sea Tardigrada from South Shetland Islands (Antarctica) with description of Angursa antarctica sp. nov. (Arthrotardigrada, Halechiniscidae)</t>
  </si>
  <si>
    <t>GENUS</t>
  </si>
  <si>
    <t>A new species of marine tardigrade is described coming from the muddy sediment of the Antarctic deep sea, Angursa antarctica sp. nov, is characterized by the presence of balloon-shaped primary clavae, long lateral cirri, long cephalic cirri, spines on legs I, hemispherical capsule-shaped papillae on legs IV, and short external peduncles. Geographical distribution of the genus Angursa extends to Antarctic waters. suggesting a cosmopolitan distribution for this bathyal and abyssal genus. A table comparing the main differentiating characteristics of the species of Angursa is presented.</t>
  </si>
  <si>
    <t>Univ Valencia, Fac Biol, E-46100 Valencia, Spain</t>
  </si>
  <si>
    <t>Villora-Moreno, S (corresponding author), Univ Barcelona, Fac Biol, Ave Diagonal 645, E-08028 Barcelona, Spain.</t>
  </si>
  <si>
    <t>villora@uv.es</t>
  </si>
  <si>
    <t>10.1007/s003000050255</t>
  </si>
  <si>
    <t>WOS:000073551700007</t>
  </si>
  <si>
    <t>van Leeuwe, MA; de Baar, HJW; Veldhuis, MJW</t>
  </si>
  <si>
    <t>Pigment distribution in the Pacific region of the Southern Ocean (autumn 1995)</t>
  </si>
  <si>
    <t>MARINE-PHYTOPLANKTON; ICE-EDGE; ANTARCTIC PHYTOPLANKTON; ROSS SEA; ZONE; CHLOROPHYLL; NUTRIENT; SINKING; NITRATE</t>
  </si>
  <si>
    <t>Phytoplankton distribution patterns are still largely unknown for the Pacific region of the Southern Ocean. Pigment distributions were determined by HPLC on 40-m samples collected from the mixed layer during the ANTXII/4 cruise in March-May 1995 aboard RV Polarstern. A transect was covered (90 degrees W, from 51 degrees S to 70 degrees S), crossing the Subantarctic Front in the north, the Polar Front, and the Southern Polar Front in the south. Coinciding with high concentrations of silicate, diatoms dominated in the Antarctic waters south of the Polar Front. North of the Polar Front, silicate concentrations dropped to values less than 10 mu M. In this area flagellates (Prymnesiophyceae and green algae) were the dominant phytoplankton group. Nutrient depletion of the surface waters near the Southern Polar Front indicated formerly enhanced productivity. These findings confirmed previous observations by the British Sterna expedition. which described locally elevated chlorophyll rr biomass near the southern boundary of the Southern Polar Front. We propose a role for supply of bioavailable iron via the front and emphasise the importance of frontal systems for phytoplankton productivity in the Southern Ocean.</t>
  </si>
  <si>
    <t>van Leeuwe, MA (corresponding author), Univ Groningen, Dept Marine Biol, POB 14, NL-9750 AA Haren, Netherlands.</t>
  </si>
  <si>
    <t>10.1007/s003000050257</t>
  </si>
  <si>
    <t>WOS:000073551700009</t>
  </si>
  <si>
    <t>Kim, SJ; Crowley, TJ; Stössel, A</t>
  </si>
  <si>
    <t>Local orbital forcing of Antarctic climate change during the last interglacial</t>
  </si>
  <si>
    <t>VOSTOK ICE-CORE; OCEAN; MODEL; RECORD; CYCLE; SENSITIVITY; CIRCULATION; AGES; KYR; SEA</t>
  </si>
  <si>
    <t>During the last interglacial, Antarctic climate changed before that of the Northern Hemisphere. Large local changes in precession forcing could have produced this pattern if there were a rectified response in sea ice cover. Results from a coupled sea ice-ocean general circulation model supported this hypothesis when it was tested for three intervals around the last interglacial. Such a mechanism may play an important role in contributing to phase offsets between Northern and Southern Hemisphere climate change for other time intervals.</t>
  </si>
  <si>
    <t>Texas A&amp;M Univ, Dept Oceanog, College Stn, TX 77843 USA</t>
  </si>
  <si>
    <t>ksj@ocean.tamu.edu</t>
  </si>
  <si>
    <t>10.1126/science.280.5364.728</t>
  </si>
  <si>
    <t>ZL268</t>
  </si>
  <si>
    <t>WOS:000073415600045</t>
  </si>
  <si>
    <t>Teitelbaum, H; Sadourny, R</t>
  </si>
  <si>
    <t>The role of planetary waves in the formation of polar stratospheric clouds</t>
  </si>
  <si>
    <t>CHLORINE NITRATE; HYDROGEN-CHLORIDE; TOTAL OZONE; ANTARCTICA; DEPLETION; CHEMISTRY; EASOE; WATER; HOLE</t>
  </si>
  <si>
    <t>Several recent works attribute the formation of polar stratospheric clouds (PSCs) to the occurrence of localized orographic waves. Using ECMWF analyses, we investigate the large scale stratospheric flow conditions in a number of cases where PSCs have been detected both in the Arctic and in the Antarctic. We show that PSCs appear within strong planetary scale uplifts of isentropic surfaces. The adiabatic cooling of air parcels travelling within such planetary scale uplifts while conserving their humidity and trace constituents, seems to be the main mechanism for PSC formation. The PSC distribution would then follow a planetary structure, even though local orographic waves could still play an additional role when planetary scale conditions are met.</t>
  </si>
  <si>
    <t>Ecole Normale Super, CNRS, Meteorol Dynam Lab, F-75231 Paris 05, France</t>
  </si>
  <si>
    <t>Universite PSL; Ecole Normale Superieure (ENS); Sorbonne Universite; Centre National de la Recherche Scientifique (CNRS)</t>
  </si>
  <si>
    <t>Teitelbaum, H (corresponding author), Ecole Normale Super, CNRS, Meteorol Dynam Lab, 24 Rue Lhomond, F-75231 Paris 05, France.</t>
  </si>
  <si>
    <t>10.1034/j.1600-0870.1998.t01-2-00004.x</t>
  </si>
  <si>
    <t>ZT171</t>
  </si>
  <si>
    <t>WOS:000074056200004</t>
  </si>
  <si>
    <t>Beaglehole, D; Ramanathan, B; Rumberg, J</t>
  </si>
  <si>
    <t>The UV to IR transmittance of Antarctic snow</t>
  </si>
  <si>
    <t>ICE; ULTRAVIOLET</t>
  </si>
  <si>
    <t>We report the transmittance of Antarctic snow as a function of the thickness of snow layers, in the range between 350 and 900 nm. Samples were studied near Scott Base, Ross Island, and data are presented for measurements made in early December 1996. The transmittance followed the two flux theoretical expressions well, and scattering and absorption parameters were obtained by curve fitting. Scattering dominated the transmittance at shorter wavelengths. The absorption at shorter wavelengths varied from one site to another, being lowest for snow samples measured furthest away from Ross Island, suggesting the effects of blown volcanic dust. The snow albedo derived from the transmittance parameters is compared with those of other workers.</t>
  </si>
  <si>
    <t>Victoria Univ Wellington, Sch Chem &amp; Phys Sci, Wellington, New Zealand</t>
  </si>
  <si>
    <t>Victoria University Wellington</t>
  </si>
  <si>
    <t>Beaglehole, D (corresponding author), Victoria Univ Wellington, Sch Chem &amp; Phys Sci, POB 600, Wellington, New Zealand.</t>
  </si>
  <si>
    <t>david.beaglehole@vuw.ac.nz; jens.rumberg@vuw.ac.nz</t>
  </si>
  <si>
    <t>APR 27</t>
  </si>
  <si>
    <t>D8</t>
  </si>
  <si>
    <t>10.1029/97JD03604</t>
  </si>
  <si>
    <t>ZK155</t>
  </si>
  <si>
    <t>WOS:000073290900019</t>
  </si>
  <si>
    <t>Armengaud, A; Koster, RD; Jouzel, J; Ciais, P</t>
  </si>
  <si>
    <t>Deuterium excess in Greenland snow: Analysis with simple and complex models</t>
  </si>
  <si>
    <t>GENERAL-CIRCULATION MODEL; LAST GLACIAL MAXIMUM; ICE-CORE RECORD; ANTARCTIC PRECIPITATION; CLIMATE; SIMULATIONS; CYCLES; SURFACE; ORIGIN; HDO</t>
  </si>
  <si>
    <t>A simple Rayleigh-type isotope model, typical of those used to develop algorithms for extracting climatic information from stable water isotope paleodata, is evaluated against the more complex and presumably more reliable calculations of a general circulation model (GCM) fitted with isotope tracer diagnostics. The evaluation centers on an analysis of how the temperature T-e of an oceanic moisture source affects the deuterium excess d of Greenland precipitation. The annual T-e-d relationship derived from the GCM diagnostics is largely reproduced by the simple isotope model when the latter is properly initialized. This, coupled with the fact that the GCM itself reproduces observed isotope behavior, suggests that the simpler model's atmospheric calculations are indeed adequate for isotope studies. Furthermore, the GCM results support the idea, originally developed with the simpler models, that polar deuterium excess values contain information on meteorological conditions at distant evaporative sources.</t>
  </si>
  <si>
    <t>Univ Grenoble 1, CNRS, Lab Glaciol &amp; Geophys Environm, F-38402 St Martin Dheres, France; NASA, Goddard Space Flight Ctr, Hydrol Sci Branch, Lab Hydrospher Proc, Greenbelt, MD 20771 USA; CEA Saclay, Lab Sci Climat &amp; Environm, DSM, Commissariat Energie Atom, F-91191 Gif Sur Yvette, France</t>
  </si>
  <si>
    <t>Communaute Universite Grenoble Alpes; Universite Grenoble Alpes (UGA); Centre National de la Recherche Scientifique (CNRS); National Aeronautics &amp; Space Administration (NASA); NASA Goddard Space Flight Center; Universite Paris Saclay; Communaute Universite Grenoble Alpes; Universite Grenoble Alpes (UGA); CEA; Centre National de la Recherche Scientifique (CNRS)</t>
  </si>
  <si>
    <t>Univ Grenoble 1, CNRS, Lab Glaciol &amp; Geophys Environm, F-38402 St Martin Dheres, France.</t>
  </si>
  <si>
    <t>alex@glaciog.ujf-grenoble.fr; randal.koster@gsfc.nasa.gov</t>
  </si>
  <si>
    <t>Ciais, Philippe/A-6840-2011; Koster, Randal D/F-5881-2012</t>
  </si>
  <si>
    <t>Ciais, Philippe/0000-0001-8560-4943; Koster, Randal D/0000-0001-6418-6383</t>
  </si>
  <si>
    <t>10.1029/98JD00274</t>
  </si>
  <si>
    <t>WOS:000073290900028</t>
  </si>
  <si>
    <t>Salamatin, AN; Lipenkov, VY; Barkov, NI; Jouzel, J; Petit, JR; Raynaud, D</t>
  </si>
  <si>
    <t>Ice core age dating and paleothermometer calibration based on isotope and temperature profiles from deep boreholes at Vostok Station (East Antarctica)</t>
  </si>
  <si>
    <t>LAST CLIMATIC CYCLE; POLAR ICE; RECORD; GREENLAND; CO2</t>
  </si>
  <si>
    <t>An interpretation of the deuterium profile measured along the Vostok (East Antarctica) ice core down to 2755 m has been attempted on the basis of the borehole temperature analysis. An inverse problem is solved to infer a local geophysical metronome, the orbital signal in the surface temperature oscillations expressed as a sum of harmonics of Milankovich periods. By correlating the smoothed isotopic temperature record to the metronome, a chronostratigraphy of the Vostok ice core is derived with an accuracy of +/-3.0-4.5 kyr. The developed timescale predicts an age of 241 kyr at a depth of 2760 m, The ratio delta D/delta T-i between deuterium content and cloud temperature fluctuations (at the top of the inversion layer) is examined by fitting simulated and measured borehole temperature profiles. The conventional estimate of the deuterium-temperature slope corresponding to the present-day spatial ratio (9 per mil/degrees C) is confirmed in general. However, the mismatch between modeled and measured borehole temperatures decreases noticeably if we allow surface temperature, responsible for the thermal state of the ice sheet, to undergo more intensive precession oscillations than those of the inversion temperature traced by isotope record. With this assumption, we obtain the long-term temporal deuterium-temperature slope to be 5.8-6.5 per mil/degrees C which implies that the glacial-interglacial temperature increase over central Antarctica was about 15 degrees C in the surface temperature and 10 degrees C in the inversion temperature. Past variations of the accumulation rate and the corresponding changes in the ice-sheet surface elevation are simultaneously simulated.</t>
  </si>
  <si>
    <t>Kazan VI Lenin State Univ, Dept Math Appl, Kazan 420008, Russia; Arctic &amp; Antarctic Res Inst, St Petersburg 199397, Russia; CE Saclay, CEA, DSM, Lab Modelisat Climat &amp; Environm, F-91191 Gif Sur Yvette, France; Univ Grenoble 1, Lab Glaciol &amp; Geophys Environm, F-38402 St Martin Dheres, France</t>
  </si>
  <si>
    <t>Kazan Federal University; Arctic &amp; Antarctic Research Institute; CEA; Universite Paris Saclay; Communaute Universite Grenoble Alpes; Universite Grenoble Alpes (UGA)</t>
  </si>
  <si>
    <t>Kazan VI Lenin State Univ, Dept Math Appl, 18 Kremlyevskaya St, Kazan 420008, Russia.</t>
  </si>
  <si>
    <t>Raynaud, Dominique/H-9626-2016; raynaud, dominique/ABG-4718-2020; Salamatin, Andrey/A-9831-2016; Lipenkov, Vladimir/Q-8262-2016</t>
  </si>
  <si>
    <t>Salamatin, Andrey/0000-0002-5988-6024; Lipenkov, Vladimir/0000-0003-4221-5440</t>
  </si>
  <si>
    <t>10.1029/97JD02253</t>
  </si>
  <si>
    <t>WOS:000073290900030</t>
  </si>
  <si>
    <t>Paull, B; Clow, M; Haddad, PR</t>
  </si>
  <si>
    <t>Separation and visible detection of alkaline earth metals on a polymeric reversed-phase column with a mobile phase containing a selective colour-forming chelating ligand</t>
  </si>
  <si>
    <t>JOURNAL OF CHROMATOGRAPHY A</t>
  </si>
  <si>
    <t>10th Anniversary of the International Ion Chromatography Symposium (IICS 97)</t>
  </si>
  <si>
    <t>SEP 14-17, 1997</t>
  </si>
  <si>
    <t>SANTA CLARA, CALIFORNIA</t>
  </si>
  <si>
    <t>mobile phase composition; complexation; water analysis; environmental analysis; alkaline earth metals; Metals; cresolphthalein complexone</t>
  </si>
  <si>
    <t>DYE-IMPREGNATED RESINS; ION CHROMATOGRAPHY; TRACE-METALS; COMPONENT; CALCIUM; MAGNESIUM; EXCHANGE; BRINES; AGENT; MATRICES</t>
  </si>
  <si>
    <t>A polystyrene-divinylbenzene reversed-phase column has been used in conjunction with a mobile phase containing o-cresolphthalein complexone for the separation and visible detection of alkaline earth metals. Retention is achieved due to the formation of a dynamically coated chelating stationary phase. The retention order obtained for the alkaline earth metals is the reverse of that achieved with simple ion exchange, with barium;(Ii) being eluted first, followed by strontium(II), calcium(II) and magnesium(II). Visible detection at 575 nm is possible without the need for addition of postcolumn reagents. Detection limits of 10 mu M for barium(II) and strontium(lI) were achieved in standards containing massive excesses of sodium, calcium(II) and magnesium(II). The method has been applied successfully to the determination of trace amounts of strontium(II) in a highly concentrated brine sample taken from an Antarctic lake. (C) 1998 Elsevier Science B.V.</t>
  </si>
  <si>
    <t>Dublin City Univ, Sch Chem Sci, Dublin 9, Ireland; Univ Tasmania, Dept Chem, Separat Sci Grp, Hobart, Tas 7001, Australia</t>
  </si>
  <si>
    <t>Dublin City University; University of Tasmania</t>
  </si>
  <si>
    <t>Paull, B (corresponding author), Dublin City Univ, Sch Chem Sci, Dublin 9, Ireland.</t>
  </si>
  <si>
    <t>paull, brett/AAO-8366-2020</t>
  </si>
  <si>
    <t>paull, brett/0000-0001-6373-6582; Haddad, Paul/0000-0001-9579-7363</t>
  </si>
  <si>
    <t>0021-9673</t>
  </si>
  <si>
    <t>J CHROMATOGR A</t>
  </si>
  <si>
    <t>J. Chromatogr. A</t>
  </si>
  <si>
    <t>APR 24</t>
  </si>
  <si>
    <t>10.1016/S0021-9673(98)00122-8</t>
  </si>
  <si>
    <t>Biochemical Research Methods; Chemistry, Analytical</t>
  </si>
  <si>
    <t>Biochemistry &amp; Molecular Biology; Chemistry</t>
  </si>
  <si>
    <t>ZN363</t>
  </si>
  <si>
    <t>WOS:000073638400012</t>
  </si>
  <si>
    <t>Tynan, CT</t>
  </si>
  <si>
    <t>Ecological importance of the Southern Boundary of the Antarctic Circumpolar Current</t>
  </si>
  <si>
    <t>EUPHAUSIA-SUPERBA; OCEAN; ZONE; STRATIFICATION</t>
  </si>
  <si>
    <t>The Southern Ocean surrounds the Antarctic continent and supports one of the most productive marine ecosystems. Migratory and endemic species of whales, seals and birds benefit from the high biomass of their principal prey, krill (Euphausia superba) and cephalopods, in this area. Most species of baleen whales and male sperm whales in the Southern Hemisphere migrate between low-latitude breeding grounds in winter and highly productive Antarctic feeding grounds in summer. Here I show the importance of the southernmost reaches of the strongest ocean current, the Antarctic Circumpolar Current (ACC), to a complex and predictable food web of the Southern Ocean, The circumpolar distributions of blue, fin and humpback whales from spring to midsummer trace the non-uniform high-latitude penetration of shoaled, nutrient-rich Upper Circumpolar Deep Water, which is carried eastward by the ACC, The poleward extent of this water mass delineates the Southern Boundary(1) of the ACC and corresponds not only to the circumpolar distributions of baleen whales, but also to distributions of krill and to regions of high, seasonally averaged, phytoplankton biomass, Sperm whales, which feed on cephalopods(2), also congregate in highest densities near the Southern Boundary. The association of primary production, Krill, and whales with the Southern Boundary, suggests that it provides predictably productive foraging for many species, and is of critical importance to the function of the Southern Ocean ecosystem.</t>
  </si>
  <si>
    <t>NOAA, Natl Res Council, Natl Marine Mammal Lab, Seattle, WA 98115 USA</t>
  </si>
  <si>
    <t>National Academies of Sciences, Engineering &amp; Medicine; National Oceanic Atmospheric Admin (NOAA) - USA</t>
  </si>
  <si>
    <t>Tynan, CT (corresponding author), NOAA, Natl Res Council, Natl Marine Mammal Lab, 7600 Sand Point Way NE, Seattle, WA 98115 USA.</t>
  </si>
  <si>
    <t>APR 16</t>
  </si>
  <si>
    <t>10.1038/33675</t>
  </si>
  <si>
    <t>ZH612</t>
  </si>
  <si>
    <t>WOS:000073129000056</t>
  </si>
  <si>
    <t>Pierrard, A; Ledent, P; Docquier, JD; Feller, G; Gerday, C; Frére, JM</t>
  </si>
  <si>
    <t>Inducible class C β-lactamases produced by psychrophilic bacteria</t>
  </si>
  <si>
    <t>beta-lactamase; psychrophile; secretion; induction</t>
  </si>
  <si>
    <t>KINETIC-PARAMETERS</t>
  </si>
  <si>
    <t>Only class C beta-lactamases were found to be synthesised by ampicillin-resistant psychrophilic bacteria collected in the Antarctic. Most of them were inducible but the induction factor varied greatly. Even in non-induced conditions, where no lysis occurred, a large proportion of the activity was found in the culture supernatant, an unusual observation with class C producers. (C) 1998 Federation of European Microbiological Societies. Published by Elsevier Science B.V.</t>
  </si>
  <si>
    <t>Univ Liege, Inst Chim, Ctr Ingn Prot, B-4000 Liege, Belgium; Univ Liege, Inst Chim, Biochim Lab, B-4000 Liege, Belgium</t>
  </si>
  <si>
    <t>University of Liege; University of Liege</t>
  </si>
  <si>
    <t>Frére, JM (corresponding author), Univ Liege, Inst Chim, Ctr Ingn Prot, B6, B-4000 Liege, Belgium.</t>
  </si>
  <si>
    <t>Docquier, Jean-Denis/Q-6518-2018</t>
  </si>
  <si>
    <t>Docquier, Jean-Denis/0000-0001-9483-4476</t>
  </si>
  <si>
    <t>APR 15</t>
  </si>
  <si>
    <t>10.1111/j.1574-6968.1998.tb12962.x</t>
  </si>
  <si>
    <t>ZH975</t>
  </si>
  <si>
    <t>WOS:000073167100012</t>
  </si>
  <si>
    <t>Bergin, MH; Meyerson, EA; Dibb, JE; Mayewski, PA</t>
  </si>
  <si>
    <t>Relationship between continuous aerosol measurements and firn core chemistry over a 10-year period at the South Pole</t>
  </si>
  <si>
    <t>ANTARCTIC ICE-SHEET; METHANESULFONIC-ACID; SNOW; RECORD</t>
  </si>
  <si>
    <t>Before ice core chemistry can be used to estimate past atmospheric chemistry it is necessary to establish an unambiguous link between concentrations of chemical species in the air and snow. For the first time a continuous long-term record of aerosol properties (aerosol light scattering coefficient, sigma(sp) and Angstrom exponent, (a) over circle) at the South Pole are compared with the chemical record from a high resolution firn core (similar to 10 samples per year) covering the period from 1981 to 1991. Seasonal signals in (a) over circle, associated with winter minima due to coarse mode seasalt and summer maxima due to accumulation mode sulfate aerosol, are reflected in the firn core SO42-/Na+ concentration ratio. Summertime ratios of sigma(sp) and aerosol optical depth, tau, to corresponding firn core sulfur concentrations are determined and the 'calibrations' are applied to sulfur concentrations in snowpits from a previous study. Results show that sigma(sp) estimates from snowpit sulfur concentrations are in agreement with atmospheric measurements while tau estimates are significantly different, which is likely due to the lack of understanding of the processes that mix surface air with air aloft.</t>
  </si>
  <si>
    <t>Univ Colorado, Cooperat Inst Res Environm Sci, Boulder, CO 80309 USA; Univ New Hampshire, Inst Study Earth Oceans &amp; Space, Climate Change Res Ctr, Durham, NH 03824 USA; Univ New Hampshire, Dept Earth Sci, Durham, NH 03824 USA</t>
  </si>
  <si>
    <t>University of Colorado System; University of Colorado Boulder; University System Of New Hampshire; University of New Hampshire; University System Of New Hampshire; University of New Hampshire</t>
  </si>
  <si>
    <t>Bergin, MH (corresponding author), Univ Colorado, Cooperat Inst Res Environm Sci, Boulder, CO 80309 USA.</t>
  </si>
  <si>
    <t>Mayewski, Paul Andrew/HRD-6969-2023</t>
  </si>
  <si>
    <t>10.1029/98GL00854</t>
  </si>
  <si>
    <t>ZH464</t>
  </si>
  <si>
    <t>WOS:000073112900021</t>
  </si>
  <si>
    <t>Ohshima, KI; Yoshida, K; Shimoda, H; Wakatsuchi, M; Endoh, T; Fukuchi, M</t>
  </si>
  <si>
    <t>Relationship between the upper ocean and sea ice during the Antarctic melting season</t>
  </si>
  <si>
    <t>MODEL; COVER</t>
  </si>
  <si>
    <t>During the Antarctic ice-melting season, high-resolution sea ice data were collected with the video monitoring system aboard the icebreaker Shirase along with the monitoring of temperature and salinity in the upper ocean. On the basis of these data, relationships among sea ice concentration, temperature, and salinity are investigated. In the ice interior region away from the ice-free ocean, ice concentration is negatively correlated with temperature and positively correlated with salinity for the spatially averaged data, which suggests chat the local balances of heat and salt nearly hold in a bulk area. At the ice margin, ice concentration is negatively correlated with both temperature and salinity, suggesting that the local balances are overwhelmed by the effects of ice advection. The expendable bathythermograph profiles at the ice margin also show that considerable amount of sea ice was advected into the ice-free ocean and subsequently melted there. It is pointed out that a polynya works as an ice-melting factory in summer; it absorbs solar radiation during the period of opening, and then melts the ice advected there. From a heat budget analysis and ocean structure in the melting season, we propose a simple ice-upper ocean coupled model in which sea ice melts on the bottom and lateral faces with the heat source supplied to the open water area by solar radiation. The relations among ice concentration, temperature, and salinity derived from the model are consistent with the observed relations. The analytic solution for the no lateral melting case shows that the concentration-temperature relation converges to a certain asymptotic curve with time, which explains that the temperature-concentration plot shows a similar relation for any region. Dependence of the relations among ice concentration, temperature, and salinity on the spatial scale is also discussed.</t>
  </si>
  <si>
    <t>Hokkaido Univ, Inst Low Temp Sci, Sapporo, Hokkaido 060, Japan; Minist Transport, Ship Res Inst, Mitaka, Tokyo 181, Japan; Natl Inst Polar Res, Tokyo 173, Japan</t>
  </si>
  <si>
    <t>Hokkaido University; Research Organization of Information &amp; Systems (ROIS); National Institute of Polar Research (NIPR) - Japan</t>
  </si>
  <si>
    <t>Ohshima, KI (corresponding author), Hokkaido Univ, Inst Low Temp Sci, Sapporo, Hokkaido 060, Japan.</t>
  </si>
  <si>
    <t>ohshima@soya.lowtem.hokudai.ac.jp</t>
  </si>
  <si>
    <t>Ohshima, Kay I/D-6909-2012</t>
  </si>
  <si>
    <t>C4</t>
  </si>
  <si>
    <t>10.1029/97JC02806</t>
  </si>
  <si>
    <t>ZH476</t>
  </si>
  <si>
    <t>WOS:000073114800010</t>
  </si>
  <si>
    <t>Klinck, JM</t>
  </si>
  <si>
    <t>Heat and salt changes on the continental shelf west of the Antarctic Peninsula between January 1993 and January 1994</t>
  </si>
  <si>
    <t>LAYER PYCNOCLINE MODEL; BOTTOM WATER FORMATION; WINTER MIXED LAYER; SEA-ICE; SOUTHERN-OCEAN; WEDDELL SEA; WIND; TEMPERATURE; POLYNYA</t>
  </si>
  <si>
    <t>Hydrographic measurements from four cruises between January 1993 and January 1994 over the continental shelf west of the Antarctic Peninsula allow analysis of seasonal changes in heat and salt content of this region. Changes above the permanent pycnocline (about 150 m) follow a seasonal pattern of cooling and increasing in salt from summer to winter and warming and freshening from winter to summer. These near-surface changes expressed as net heating or salting rate, were above 80 W m(-2) and 4 mg salt m(-2) s(-1). The year to year difference was small compared to the seasonal changes. There was no seasonal pattern to the changes below the permanent pycnocline; heat and salt content increased or decreased together, with magnitudes about half (50 W m(-2) and 2.0 mg salt m(-2) s(-1)) that observed near the surface. Subpycnocline water warmed (10 W m(-2)) and increased salt (0.5 mg salt m(-2) s(-1)) from one January to the next. Exchange of Upper Circumpolar Deep Water (UCDW), an oceanic water mass, and West Antarctic Peninsula modified Circumpolar Deep Water, a, cooled version of UCDW on the shelf, is responsible for these changes. During the exchange process, UCDW cools by loosing heat to the cold, near-surface Winter Water left by the deep mixing during the previous winter. Subpycnocline heat and salt changes occur as a difference between onshore and vertical diffusion with vertical diffusivities of (1.0, 0.36) x 10(-4) m(2) s(-1), for heat and salt, respectively, and a horizontal diffusivity of 37 m(2) s(-1). The annual change is due to a net flux of UCDW onto the shelf during 1993, with most of the exchange occurring fall and winter. Meandering of the Antarctic Circumpolar Current along the shelf break in this area seems to cause these exchanges. Deep across-shelf cuts in the bottom topography may also play a role.</t>
  </si>
  <si>
    <t>Old Dominion Univ, Ctr Coastal Phys Oceanog, Norfolk, VA 23529 USA</t>
  </si>
  <si>
    <t>Old Dominion University</t>
  </si>
  <si>
    <t>Klinck, JM (corresponding author), Old Dominion Univ, Ctr Coastal Phys Oceanog, Crittenton Hall, Norfolk, VA 23529 USA.</t>
  </si>
  <si>
    <t>klinck@ccpo.odu.edu</t>
  </si>
  <si>
    <t>Klinck, John/0000-0003-4312-5201</t>
  </si>
  <si>
    <t>10.1029/98JC00369</t>
  </si>
  <si>
    <t>WOS:000073114800011</t>
  </si>
  <si>
    <t>Kinnersley, JS; Tung, KK</t>
  </si>
  <si>
    <t>Modeling the global interannual variability of ozone due to the equatorial QBO and to extratropical planetary wave variability</t>
  </si>
  <si>
    <t>QUASI-BIENNIAL OSCILLATION; ZONALLY AVERAGED CIRCULATION; NONGEOSTROPHIC THEORY; ANTARCTIC OZONE; TEMPERATURE; STRATOSPHERE; MODULATION; CYCLE</t>
  </si>
  <si>
    <t>By forcing an interactive chemical-dynamical model of the stratosphere with the observed Singapore zonal winds and with the observed daily varying planetary wave heights just above the tropopause over the period from March 1980 to February 1993, much of the observed interannual variability (IAV) in the monthly mean ozone column from pole to pole was able to be reproduced. The best correlations were obtained equatorward of 50 degrees during winter and autumn in both hemispheres. These correlations were due to the model's interaction with the specified equatorial zonal wind. In the Southern Hemisphere, the observed high-latitude ozone anomaly in November (the month with the largest anomaly) is well anticorrelated with the 20-mb Singapore wind, and correlations suggest the anomaly propagates poleward from 45 degrees S in August and possibly even from 15 degrees S in June. The model reproduces this behavior well. In the Northern Hemisphere (NH), by contrast, the observed high-latitude ozone anomaly is not well correlated with the equatorial quasi-biennial oscillation nor does it propagate from lower latitudes. Model results demonstrate that the NH high-latitude ozone anomaly is influenced strongly by the IAV in the forcing of the planetary waves. Model results show a large IAV in the ozone column during polar night in the NH (where the Total Ozone Mapping Spectrometer is not able to observe) that is due to the IAV in the forcing of planetary waves.</t>
  </si>
  <si>
    <t>Univ Washington, Dept Appl Math, Seattle, WA 98195 USA</t>
  </si>
  <si>
    <t>Kinnersley, JS (corresponding author), Univ Washington, Dept Appl Math, Box 352420, Seattle, WA 98195 USA.</t>
  </si>
  <si>
    <t>Tung, Ka-Kit/0000-0001-8667-7167</t>
  </si>
  <si>
    <t>10.1175/1520-0469(1998)055&lt;1417:MTGIVO&gt;2.0.CO;2</t>
  </si>
  <si>
    <t>ZJ701</t>
  </si>
  <si>
    <t>WOS:000073244000008</t>
  </si>
  <si>
    <t>Bird, RT; Naar, DF; Larson, RL; Searle, RC; Scotese, CR</t>
  </si>
  <si>
    <t>Plate tectonic reconstructions of the Juan Fernandez microplate: Transformation from internal shear to rigid rotation</t>
  </si>
  <si>
    <t>EAST PACIFIC RISE; HYDROSWEEP PSEUDO-SIDESCAN; NAZCA SPREADING CENTER; PROPAGATING RIFT; LARGE-OFFSET; RIDGE PROPAGATION; ANTARCTIC PLATE; TIME-SCALE; PITO RIFT; EVOLUTION</t>
  </si>
  <si>
    <t>Side-scan sonar, swath bathymetry and magnetic anomaly data define a detailed, three-phase history of the Juan Fernandez microplate, The similar to 6 m.y. history is presented in a series of discrete time steps to document the growth and reorganization of propagating spreading centers and structural features, and microplate kinematic evolution. Prior to the microplate, the East Pacific Rise at the Pacific-Antarctic-Nazca triple junction was offset by a long transform fault zone, likely the fastest slipping transform on Earth at anomaly 3A time. The microplate originated from an intratransforn setting between anomaly 3A (5.95 Ma) and anomaly 3 (5.24 Ma) time. Its early development resembled a large propagating rift system, and microplate core structures suggest the entire offset zone may have experienced deformation. Fast propagation of the East Ridge dominated microplate growth until similar to 2.6-1.9 Ma when seafloor spreading became the dominant growth process. The microplate rotation rat increased threefold (from 9 to 29 degrees m.y.(-1) average) from phase 1 (4.2-2.6. Ma) to phase 2 (2.6-1.1 Ma) of the micropiate's history, then reduced fourfold (29 to 7 degrees m.y.(-1) average; phase 3, 1.1 Ma to Present). Phases 2 and 3 of the microplate's rotational history support the edge-driven model for microplate kinematics of Schouten and others to a good approximation. The Pacific-Nazca shear couple drove microplate rotation during phase 2, but development of the southeastern boundary enabled a transfer to the Nazca-Antarctic plate pair (phase 3). West Ridge propagation and reorganization of the southwestern boundary may have decoupled the Pacific plate from the microplate, thus facilitating the shear couple transfer. The recent continued deceleration in microplate rotation rate and westward migration of the Pacific-Antarctic ridge axis relative to the microplate may indicate that the process of microplate death has begun. We speculate that the Juan Fernandez microplate will accrete to the Antarctic plate, perhaps within the next million years, like the extinct Friday microplate has done, thereby accomplishing another northward migration of the Pacific-Antarctic-Nazca triple junction. Our reconstructions illustrate that the Easter and Juan Fernandez microplates are more similar than previously thought in terms of their origin, growth, rift propagation, ridge segmentation and overall tectonic evolution.</t>
  </si>
  <si>
    <t>Univ Western Australia, Dept Geol &amp; Geophys, Techton Special Res Ctr, Nedlands, WA 6907, Australia; Univ Rhode Isl, Grad Sch Oceanog, Narragansett, RI 02882 USA; Geol Survey Canada, Ottawa, ON, Canada; Univ S Florida, Dept Marine Sci, St Petersburg, FL 33701 USA; Univ Durham, Dept Geol Sci, Durham DH1 3LE, England; Univ Texas, Dept Geol, Arlington, TX 76019 USA</t>
  </si>
  <si>
    <t>University of Western Australia; University of Rhode Island; Natural Resources Canada; Lands &amp; Minerals Sector - Natural Resources Canada; Geological Survey of Canada; State University System of Florida; University of South Florida; Durham University; University of Texas System; University of Texas Arlington</t>
  </si>
  <si>
    <t>Univ Western Australia, Dept Geol &amp; Geophys, Techton Special Res Ctr, Nedlands, WA 6907, Australia.</t>
  </si>
  <si>
    <t>rbird@geol.uwa.edu.au; naar@moontan.marine.usf.edu; rlar@gsosunl.gso.uri.edu; R.C.Searle@durham.ac.uk</t>
  </si>
  <si>
    <t>APR 10</t>
  </si>
  <si>
    <t>B4</t>
  </si>
  <si>
    <t>10.1029/97JB02133</t>
  </si>
  <si>
    <t>ZG619</t>
  </si>
  <si>
    <t>WOS:000073022200001</t>
  </si>
  <si>
    <t>Neale, PJ; Davis, RF; Cullen, JJ</t>
  </si>
  <si>
    <t>Interactive effects of ozone depletion and vertical mixing on photosynthesis of Antarctic phytoplankton</t>
  </si>
  <si>
    <t>BIOLOGICAL WEIGHTING FUNCTION; ULTRAVIOLET-RADIATION; MARINE-PHYTOPLANKTON; SOUTHERN-OCEAN; INHIBITION; WATERS; IMPACT; GROWTH; RATES; MODEL</t>
  </si>
  <si>
    <t>Photosynthesis of Antarctic phytoplankton is inhibited by ambient ultraviolet (UV) radiation during incubations(1-4), and the inhibition is worse in regions beneath the Antarctic ozone 'hole'(4). But to evaluate such effects, experimental results on, and existing models of, photosynthesis(5-7) cannot be extrapolated directly to the conditions of the open waters of the Antarctic because vertical mixing of phytoplankton alters UV exposure and has significant effects on the integrated inhibition through the water column(2,8,9). Here we present a model of UV-influenced photosynthesis in the presence of vertical mixing, which we constrain with comprehensive measurements from the Weddell-Scotia Confluence during the austral spring of 1993. Our calculations of photosynthesis integrated through the water column (denoted PT) show that photosynthesis is strongly inhibited by near-surface UV radiation, This inhibition can be either enhanced or decreased by vertical mixing, depending on the depth of the mixed layer, Predicted inhibition is most severe when mixing is rapid, extending to the lower part of the photic zone. Our analysis reveals that an abrupt 50% reduction in stratospheric ozone could, in the worst case, lower P-T by as much as 8.5%, However, stronger influences on inhibition can come from realistic changes in vertical mixing (maximum effect on P-T of about +/-37%), measured differences in the sensitivity of phytoplankton to UV radiation (+/-46%) and cloudiness (+/-15%).</t>
  </si>
  <si>
    <t>Dalhousie Univ, Dept Oceanog, Ctr Environm Observat Technol &amp; Res, Halifax, NS B3H 4J1, Canada; Smithsonian Environm Res Ctr, Edgewater, MD 21037 USA</t>
  </si>
  <si>
    <t>Dalhousie University; Smithsonian Institution; Smithsonian Environmental Research Center</t>
  </si>
  <si>
    <t>Cullen, JJ (corresponding author), Dalhousie Univ, Dept Oceanog, Ctr Environm Observat Technol &amp; Res, Halifax, NS B3H 4J1, Canada.</t>
  </si>
  <si>
    <t>Cullen, John J/B-6105-2008; Neale, Patrick/A-3683-2012; Cuillen, John/AAE-1371-2019</t>
  </si>
  <si>
    <t>Cuillen, John/0000-0002-7740-0999</t>
  </si>
  <si>
    <t>APR 9</t>
  </si>
  <si>
    <t>10.1038/33374</t>
  </si>
  <si>
    <t>ZG300</t>
  </si>
  <si>
    <t>WOS:000072987200054</t>
  </si>
  <si>
    <t>Increased polar stratospheric ozone losses and delayed eventual recovery owing to increasing greenhouse-gas concentrations</t>
  </si>
  <si>
    <t>1995-96 ARCTIC WINTER; MIDDLE ATMOSPHERE; VORTEX CONDITIONS; CLIMATE-CHANGE; MODEL; CO2; DEPLETION; HOLE</t>
  </si>
  <si>
    <t>The chemical reactions responsible for stratospheric ozone depletion are extremely sensitive to temperature(1). Greenhouse gases warm the Earth's surface but cool the stratosphere radiatively(2-5) and therefore affect ozone depletion. Here we investigate the interplay between projected future emissions of greenhouse gases and levels of ozone-depleting halogen species using a global climate model that incorporates simplified ozone-depletion chemistry. Temperature and wind changes induced by the increasing greenhouse-gas concentrations alter planetary-wave propagation in our model, reducing the frequency of sudden stratospheric warmings in the Northern Hemisphere(4). This results in a more stable Arctic polar vortex, with significantly colder temperatures in the lower stratosphere and concomitantly increased ozone depletion. Increased concentrations of greenhouse gases might therefore be at least partly responsible for the very large Arctic ozone losses observed in recent winters(6-9). Arctic losses reach a maximum in the decade 2010 to 2019 in our model, roughly a decade after the maximum in stratospheric chlorine abundance. The mean losses are about the same as those over the Antarctic during the early 1990s, with geographically localized losses of up to two-thirds of the Arctic ozone column in the worst years. The severity and the duration of the Antarctic ozone hole are also predicted to increase because of greenhouse-gas-induced stratospheric cooling over the coming decades.</t>
  </si>
  <si>
    <t>NASA, Goddard Inst Space Studies, New York, NY 10025 USA; Columbia Univ, Ctr Climate Syst Res, New York, NY 10025 USA</t>
  </si>
  <si>
    <t>10.1038/33385</t>
  </si>
  <si>
    <t>WOS:000072987200055</t>
  </si>
  <si>
    <t>Perez, A; de Carcer, IA; Tocho, JO; Crino, E; Sandoval, HFR; Berni, ME; Da Silva, L; Henriques, D; Cusso, F; Jaque, F</t>
  </si>
  <si>
    <t>The extent of the ozone hole over South America during the spring of 1993, 1994, and 1995</t>
  </si>
  <si>
    <t>JOURNAL OF PHYSICS D-APPLIED PHYSICS</t>
  </si>
  <si>
    <t>The evolution of the total ozone measured by a network of ground stations located in Argentina and Chile between Latitudes 53S and 33S during the spring of 1993, 1994 and 1995 is given. Ozone data obtained from the ground stations are compared with total ozone values supplied by the satellite showing a very good agreement. Ground station data were taken with a very low cost detection system based on differential optical absorption techniques under specific conditions. Several ozone depletion events were detected in the south of Argentina and Chile during those time intervals, even at latitudes as low as 33S. Potential vorticity maps obtained for those events indicate that the ozone depletions observed have an Antarctic origin.</t>
  </si>
  <si>
    <t>Univ Autonoma Madrid, Dept Fis Mat, E-28049 Madrid, Spain; Natl Univ La Plata, Dept Fis, RA-1900 La Plata, Argentina; CONICET, CIC, CIOp, La Plata, Argentina; Univ Nacl San Luis, San Luis, Argentina; Univ Nacl Tandil, Ctr Prov Buenos Aires, Tandil, Argentina; Estac Astron Rio Grande, Tierra Del Fuego, Argentina; Univ Tech F Santa Maria, Dept Fis, Valparaiso, Chile; Inst Meteorol, P-1700 Lisbon, Portugal</t>
  </si>
  <si>
    <t>Autonomous University of Madrid; National University of La Plata; Consejo Nacional de Investigaciones Cientificas y Tecnicas (CONICET); National University of La Plata; Centro de Investigaciones Opticas (CIOP); Universidad Nacional de San Luis</t>
  </si>
  <si>
    <t>Perez, A (corresponding author), Univ Autonoma Madrid, Dept Fis Mat, C-IV, E-28049 Madrid, Spain.</t>
  </si>
  <si>
    <t>Cussó, Fernando/F-3056-2016</t>
  </si>
  <si>
    <t>Henriques, Diamantino/0000-0003-2026-2342; Cusso Perez, Fernando/0000-0001-9010-453X</t>
  </si>
  <si>
    <t>0022-3727</t>
  </si>
  <si>
    <t>J PHYS D APPL PHYS</t>
  </si>
  <si>
    <t>J. Phys. D-Appl. Phys.</t>
  </si>
  <si>
    <t>APR 7</t>
  </si>
  <si>
    <t>10.1088/0022-3727/31/7/010</t>
  </si>
  <si>
    <t>Physics, Applied</t>
  </si>
  <si>
    <t>ZK500</t>
  </si>
  <si>
    <t>WOS:000073328700010</t>
  </si>
  <si>
    <t>Smith, AJ</t>
  </si>
  <si>
    <t>Stretching it out</t>
  </si>
  <si>
    <t>Smith, AJ (corresponding author), British Antarctic Survey, Cambridge CB3 0ET, England.</t>
  </si>
  <si>
    <t>APR 4</t>
  </si>
  <si>
    <t>ZF544</t>
  </si>
  <si>
    <t>WOS:000072908100053</t>
  </si>
  <si>
    <t>Galeazzi, JS</t>
  </si>
  <si>
    <t>Structural and stratigraphic evolution of the western Malvinas Basin, Argentina</t>
  </si>
  <si>
    <t>TIERRA-DEL-FUEGO; SOUTHERNMOST SOUTH-AMERICA; FALKLAND-ISLANDS; ANTARCTIC PENINSULA; CORDILLERA DARWIN; CORE COMPLEX; SCOTIA ARC; BACK-ARC; ANDES; CHILE</t>
  </si>
  <si>
    <t>The Malvinas Basin is one of the few basins on the Argentine continental shelf that contains a proven petroleum system; however, uneconomical oil discoveries keep the basin at a frontier exploration status. The Malvinas Basin evolved through three main tectonic phases: rift, sag, and foredeep. The sedimentary fill of the basin is closely related to its tectonic history. Middle Jurassic rifting resulted in north-northwest-oriented grabens that filled with volcanic and pyroclastic continental rocks. Diminished faulting and generalized subsidence during the Late Jurassic-Neocomian early sag phase were accompanied by deposition of a basal transgressive marine wedge. The Aptian-Maastrichtian interval was characterized by tectonic quiescence and deposition of offshore mud-prone sediments. Southerly localized early Paleogene transtensional tectonism accompanied the early development of a foredeep trough, Outer shelf glauconite-rich sandstones, basinal claystones, and localized carbonate buildups partially filled the basin, By the middle Eocene-Oligocene, a strong deepening event marked the initiation of the foredeep sensu stricto phase, This phase resulted in the full development of the Malvinas foredeep and the formation of compressional structures in the foreland, The foredeep basin was replenished by a westerly derived offlapping siliciclastic wedge of Oligocene-Miocene age. Noncommercial hydrocarbon discoveries in 5 of the 17 wells drilled in the basin suggest the presence of an undercharged Lower Inoceramus-Springhill petroleum system.</t>
  </si>
  <si>
    <t>Astra Capsa, RA-1049 Buenos Aires, DF, Argentina</t>
  </si>
  <si>
    <t>Galeazzi, JS (corresponding author), Total SA, 24 Cours Michelet, F-92069 Paris, France.</t>
  </si>
  <si>
    <t>sebastian.galeazzi@total.com</t>
  </si>
  <si>
    <t>APR</t>
  </si>
  <si>
    <t>ZG508</t>
  </si>
  <si>
    <t>WOS:000073010700004</t>
  </si>
  <si>
    <t>Rocka, A; Zdzitowiecki, K</t>
  </si>
  <si>
    <t>Cestodes in fishes of the Weddell Sea</t>
  </si>
  <si>
    <t>TETRAPHYLLIDEA</t>
  </si>
  <si>
    <t>In total, 404 fishes of 34 species caught in the Weddell Sea were examined, including four specimens of skates, Bathyraja maccaini and Bathyraja sp., and 23 specimens of the gadiform fish, Macrourus whitsoni (the only three species infected with adult Cestoda). Skates were infected with four representatives of the order Tetraphyllidea, Marsupiobothrium awii sp. n., Anthocephalum siedleckii (syn. Phyllobothrium siedleckii), Anthocephalum arctowskii (syn. Phyllobothrium arctowskii), Oncobothrium antarcticum. The three last species were first described in the South Shetland Islands area. Phyllobothrium siedleckii from B, maccaini (new host) and P, arctowskii from Bathyraja sp. are transferred to the genus Anthocephalum and their descriptions are emended. Marsupiobothrium awii sp, n. from B, maccaini is characterised by: apolytic strobila; scolex with four sessile, jar-like bothridia, each with opening provided with a ring of muscles and submarginal sucker; 120-150 testes; vagina with dilatation in proximal part and sphincter present distally; eggs 0.016 x 0.017 mm. Differential diagnosis with remaining species of the Marsupiobothrium is given. Oncobothrium antarcticum was found in B, maccaini (new host). M. whitsoni was infected with one pseudophyllidean species, Parabothriocephalus johnstoni, previously known as only from the same host in the Indian sector of the Antarctic Ocean.</t>
  </si>
  <si>
    <t>Polish Acad Sci, W Stefanski Inst Parasitol, PL-00818 Warsaw, Poland</t>
  </si>
  <si>
    <t>Rocka, A (corresponding author), Polish Acad Sci, W Stefanski Inst Parasitol, Twarda 51-55, PL-00818 Warsaw, Poland.</t>
  </si>
  <si>
    <t>WITOLD STEFANSKI INST PARASITOLOGY</t>
  </si>
  <si>
    <t>WARSAW</t>
  </si>
  <si>
    <t>L. PASTEURA 3, S.P. 153, 00-073 WARSAW, POLAND</t>
  </si>
  <si>
    <t>ZY062</t>
  </si>
  <si>
    <t>WOS:000074582800002</t>
  </si>
  <si>
    <t>Zdzitowiecki, K; Rocka, A; Pisano, E; Ozouf-Costaz, C</t>
  </si>
  <si>
    <t>A list of fish parasitic worms collected off Adelie Land (Antarctic)</t>
  </si>
  <si>
    <t>A list of internal parasitic worms occurring in four fish species in environs of the Adelie Land is given. In total, 20 forms are listed, including 14 species occurring in fishes in the adult stage(ll Digenea, 2 Acanthocephala, 1 Nematoda) and six larval forms (3 Cestoda, 1 Acanthocephala, 2 Nematoda). Twelve species occurring as adults and two larval forms are specifically determined. One digenean species is not identified even to a family, one acanthocephalan species and one nematode larval form are determined to the genera, three cestode larval forms are determined only to the higher taxa. All species and larval forms previously recorded in the investigated area are present in the material; eleven ones are reported from environs of the Adelie Land for the first time.</t>
  </si>
  <si>
    <t>Polish Acad Sci, W Stefanski Inst Parasitol, PL-00818 Warsaw, Poland; Univ Genoa, Ist Anat Comparata, I-16132 Genoa, Italy; Museum Natl Hist Nat, F-75231 Paris, France</t>
  </si>
  <si>
    <t>Polish Academy of Sciences; University of Genoa; Museum National d'Histoire Naturelle (MNHN)</t>
  </si>
  <si>
    <t>Zdzitowiecki, K (corresponding author), Polish Acad Sci, W Stefanski Inst Parasitol, Twarda 51-55, PL-00818 Warsaw, Poland.</t>
  </si>
  <si>
    <t>WOS:000074582800003</t>
  </si>
  <si>
    <t>Smeets, CJPP; Duynkerke, PG; Vugts, HF</t>
  </si>
  <si>
    <t>Turbulence characteristics of the stable boundary layer over a mid-latitude glacier. Part I: A combination of katabatic and large-scale forcing</t>
  </si>
  <si>
    <t>BOUNDARY-LAYER METEOROLOGY</t>
  </si>
  <si>
    <t>stable boundary layer; katabatic flow; non-stationary flow; spectra; roughness length; glacio-meteorology</t>
  </si>
  <si>
    <t>ATMOSPHERIC SURFACE-LAYER; FAST-RESPONSE THERMOMETER; ANTARCTIC ICE SHELF; SNOW SURFACE; TRANSFER-COEFFICIENTS; KINETIC-ENERGY; WIND REGION; HEAT-FLUX; SEA ICE; TEMPERATURE</t>
  </si>
  <si>
    <t>Profile and eddy-correlation (heights of 4 and 10 m) measurements performed on the Pasterze glacier (Austria) are used to study the characteristics of the stable boundary layer under conditions of katabatic and large-scale forcing. We consider cases where large-scale forcing results in a downslope (or following) ambient wind. The analysis of averaged spectra and cospectra reveals low frequency perturbations that have a large influence on the variances of temperature and horizontal wind components and also alter the cospectra of momentum and sensible heat Bur. Only the spectrum of the vertical wind speed is comparable to universal spectra. The low frequency perturbations occur as brief intermittent events and result in downward entrainment of ambient air thereby producing enhanced downward sensible heat fluxes and downward as well as upward momentum fluxes with various magnitudes and timescales. After the variances were high pass filtered, the normalised standard deviations of wind speed and temperature compare favourably to findings in the literature within the range 0 &lt; z/L &lt; 0.5. For larger z/L they deviate as a result of an increased influence from low frequency perturbations and thus non-stationarity. In line with this, the turbulent kinetic energy budget (at 3 m height) indicates that production (shear) is in balance with destruction (buoyancy and dissipation) within the range 0 &lt; z/L &lt; 0.3. Non-dimensional gradients of wind speed within the range 0 &lt; z/L &lt; 0.3 have a slope of about 3.5. The scatter for the dimensionless temperature gradient is quite large, and the slope is comparable to that for wind speed gradients. For z/L &gt; 0.3 the imbalance in the turbulent kinetic energy budget grows and non-dimensional gradients for wind speed and temperature deviate considerably from accepted values as a result of increased non-stationarity. Average roughness lengths for momentum and sensible heat flux derived from wind speed and temperature profiles are respectively 1 x 10(-3) m and 6 x 10(-5) m, consistent with the literature. The ratio (z(0h)/z(0m)) compares to those predicted by surface renewal models. A variation of this ratio with the roughness Reynolds number is not indicated by our data.</t>
  </si>
  <si>
    <t>Free Univ Amsterdam, Fac Earth Sci, NL-1081 HV Amsterdam, Netherlands; Inst Marine &amp; Atmospher Res, NL-3584 CC Utrecht, Netherlands</t>
  </si>
  <si>
    <t>Vrije Universiteit Amsterdam; Utrecht University</t>
  </si>
  <si>
    <t>Smeets, CJPP (corresponding author), Free Univ Amsterdam, Fac Earth Sci, Boelelaan 1085, NL-1081 HV Amsterdam, Netherlands.</t>
  </si>
  <si>
    <t>0006-8314</t>
  </si>
  <si>
    <t>BOUND-LAY METEOROL</t>
  </si>
  <si>
    <t>Bound.-Layer Meteor.</t>
  </si>
  <si>
    <t>10.1023/A:1000860406093</t>
  </si>
  <si>
    <t>ZQ405</t>
  </si>
  <si>
    <t>WOS:000073857900006</t>
  </si>
  <si>
    <t>Boyd, IL; McCafferty, DJ; Reid, K; Taylor, R; Walker, TR</t>
  </si>
  <si>
    <t>Dispersal of male and female Antarctic fur seals (Arctocephalus gazella)</t>
  </si>
  <si>
    <t>SOUTHERN ELEPHANT SEALS; FORAGING BEHAVIOR; DIVING BEHAVIOR; GEORGIA; DIET; CONSUMPTION; MOVEMENTS; ISLAND; KRILL</t>
  </si>
  <si>
    <t>This study examined the foraging locations of adult male and female Antarctic fur seals (Arctocephalus gazella) in the Scotia Sea during the postbreeding period. Satellite transmitters were used to track adult males and females and to obtain information about dive depths. Male fur seals migrated away from the breeding area during the postbreeding period whereas females remained close to the breeding grounds and foraged in the same area during two consecutive years. The most intensive foraging by females was associated with the edge of:he continental shelf of South Georgia. Males dived deeper than females. Counts of males at South Georgia and at the South Orkney Islands support the result from satellite tracking data showing that males move from South Georgia to the South Orkney Islands at the end of the breeding season. Unlike males, females were limited in their foraging range by the necessity to return to feed dependent young, so breeding sites are likely to be located close to foraging areas that are optimal for females. Locations used for feeding by females were avoided by males, either because they were suboptimal for males or because foraging by females at South Georgia causes local depletion of food, and males, which have the option to forage further afield, can forage more successfully in regions where there are no females. Comparison with fisheries data also suggests that these fur seals are targeting the most abundant exploitable prey.</t>
  </si>
  <si>
    <t>Walker BSc, MPhil, PhD, Tony R./ABA-4581-2020</t>
  </si>
  <si>
    <t>Walker BSc, MPhil, PhD, Tony R./0000-0001-9008-0697; McCafferty, Dominic/0000-0002-3079-3326</t>
  </si>
  <si>
    <t>10.1139/cjfas-55-4-845</t>
  </si>
  <si>
    <t>ZY881</t>
  </si>
  <si>
    <t>WOS:000074671600008</t>
  </si>
  <si>
    <t>Geochemistry of mafic dykes in the Antarctic Peninsula continental-margin batholith: a record of arc evolution</t>
  </si>
  <si>
    <t>CALC-ALKALINE MAGMAS; EASTERN PALMER-LAND; GONDWANA BREAK-UP; TRACE-ELEMENT; PACIFIC MARGIN; FRACTIONAL CRYSTALLIZATION; TRENCH INTERACTION; WESTERN MEXICO; GRAHAM LAND; GENESIS</t>
  </si>
  <si>
    <t>Mafic dykes of the Antarctic Peninsula continental-margin are are compositionally diverse, comprising calc-alkaline (dominant), shoshonite, tholeiite, and OIB-like varieties. Their compositions give information about different mafic magma sources tapped during are evolution. The compositional groups represent partial melts of at least five distinct mantle sources: a low-epsilon Nd subduction-modified, garnet-bearing, lithospheric mantle (older calc-alkaline); a high-epsilon Nd subduction-modified, garnet-bearing, lithospheric mantle (shoshonites); a high-epsilon Nd subduction-modified, spinel-bearing, asthenospheric mantle (younger calc-alkaline); E-MORB-like spinel-bearing asthenosphere depleted by a previous melting event (tholeiites); and within-plate non-subduction modified, garnet-and spinel-bearing, asthenosphere (OIB-like). Slab-derived fluids, subducted sediment, and are crust also contributed to the magmas. Consideration of previous work in the light of our new compositional and geochronological data enables presentation of a summary of are evolution. For most of the Cretaceous and Tertiary, the tectonic regime of the Antarctic Peninsula are was transtensional, and calc-alkaline magmas intruded. An oceanic spreading centre collided with the trench during the Late Cretaceous and induced tectonic changes which caused tapping of different magma sources. A pulse of shoshonitic, tholeiitic, and OIB-like mafic magmatism resulted. Three ridge-trench collisions are now recognized during the history of the are, in Mid-Late Jurassic, Late Cretaceous, and Early-Mid Tertiary times.</t>
  </si>
  <si>
    <t>British Antarctic Survey, NERC, Cambridge CB3 0ET, England; British Geol Survey, NERC, Isotope Geosci Lab, Keyworth NG12 5GG, Notts, England</t>
  </si>
  <si>
    <t>Scarrow, JH (corresponding author), Dept GEOTER, Via Cotonificio 114, I-33100 Udine, Italy.</t>
  </si>
  <si>
    <t>scarrow@dgt.uniud.it</t>
  </si>
  <si>
    <t>Millar, Ian L/F-1541-2010; Scarrow, Jane Hannah/J-9237-2017</t>
  </si>
  <si>
    <t>Scarrow, Jane Hannah/0000-0001-8585-8679</t>
  </si>
  <si>
    <t>ZP954</t>
  </si>
  <si>
    <t>WOS:000073805400013</t>
  </si>
  <si>
    <t>Rhein, M; Stramma, L; Krahmann, G</t>
  </si>
  <si>
    <t>The spreading of Antarctic bottom water in the tropical Atlantic</t>
  </si>
  <si>
    <t>WESTERN BOUNDARY CURRENT; DEEP-WATER; NORTH-ATLANTIC; SOUTH-ATLANTIC; BRAZIL BASIN; OCEAN; CIRCULATION; TRANSPORTS; EQUATOR; FLOW</t>
  </si>
  <si>
    <t>Hydrographic and tracer [chlorofluorocarbon (CFC), component F11] data in the tropical Atlantic off Brazil taken in spring 1994 are used to describe the development of the water mass characteristics of Antarctic Bottom Water (AABW) between 10 degrees S and 11 degrees N. To compute the AABW transports, geostrophic computations and directly measured velocity fields are combined. Velocity profiles were measured with the Pegasus profiling system and an ADCP attached to the CTD. The F11 increase from 10 degrees S to 11 degrees N, mainly in the upper part of the tracer-poor AABW, reveals the mixing of AABW along its path with the overlying North Atlantic Deep Water, which carries a significant F11 signal in the equatorial Atlantic. While propagating north of 5 degrees S, the AABW shifts to higher salinities at a given temperature. About one-third of the northward flowing AABW at 10 degrees S (4.8 Sv) and at 5 degrees S (4.7 Sv) west of about 31 degrees 30'W enters the Guiana Basin, mainly through the southern half of the Equatorial Channel at 35 degrees W (1.5-1.8 Sv). The other part recirculates and some of it flows through the Romanche Fracture Zone into the eastern Atlantic. In the Guiana Basin, west of 40 degrees W, the sloping topography and the strong, eastward flowing deep western boundary current might prevent the AABW from flowing west: thus it has to turn north at the eastern slope of the Ceara Rise (2.2 Sv). At 44 degrees W, north of the Ceara Rise, AABW flows west in the interior of the basin in a main core near 7 degrees 15'N (1.9 Sv). A net return how of about 0.5 Sv was found north of 8 degrees 43'N. A large fraction of the AABW (1.1 Sv) enters the eastern Atlantic through the Vema Fracture Zone, leaving only 0.3 Sv of AABW for the western Atlantic basins. (C) 1998 Elsevier Science Ltd. All rights reserved.</t>
  </si>
  <si>
    <t>Rhein, M (corresponding author), Univ Kiel, Inst Meereskunde, Dusternbrooker Weg 20, D-24105 Kiel, Germany.</t>
  </si>
  <si>
    <t>Rhein, Monika/P-1969-2016</t>
  </si>
  <si>
    <t>Rhein, Monika/0000-0003-1496-2828; Stramma, Lothar/0000-0003-1391-4808</t>
  </si>
  <si>
    <t>APR-MAY</t>
  </si>
  <si>
    <t>4-5</t>
  </si>
  <si>
    <t>10.1016/S0967-0637(97)00030-7</t>
  </si>
  <si>
    <t>103JM</t>
  </si>
  <si>
    <t>WOS:000075153900001</t>
  </si>
  <si>
    <t>Logerwell, EA; Hewitt, RP; Demer, DA</t>
  </si>
  <si>
    <t>Scale-dependent spatial variance patterns and correlations of seabirds and prey in the southeastern Bering Sea as revealed by spectral analysis</t>
  </si>
  <si>
    <t>ANTARCTIC KRILL; SCHOOLING FISH; HABITAT; ISLAND; PHYTOPLANKTON; PREDATORS; ECOLOGY; BIRDS; DISTRIBUTIONS; HETEROGENEITY</t>
  </si>
  <si>
    <t>Uni-and bivariate spectral analyses of the spatial distribution of thick-billed murres Uria lomvia and acoustic estimates or prey biomass in the southeastern Bering Sea were used to examine the spatial variance patterns of a predator and its prey at multiple spatial scales. Power, phase and coherency spectra from individual transects. as well as those averaged over all transects, were examined. The average spectra; representing atemporal scale of months, showed that murres and prey had similar spatial variance patterns and were positively correlated over the range of spatial scales studied. The individual spectra. representing a temporal scale of hours, showed several patterns that were not evident in the average spectre. In particular, the transect-level analyses showed that the correlation between murres and prey was poor at spatial scales where prey variance was relatively low. This result suggests a new hypothesis to explain poor small-scale correlations between consumers and resources: resource distribution is relatively uniform at small scales resulting in only a slight increase in foraging return For consumers showing an aggregative response at these scales. The differences among spatial scales and between the average and individual spectra illustrate how ecological patterns can vary with temporal and spatial scale.</t>
  </si>
  <si>
    <t>Univ Calif Irvine, Irvine, CA 92697 USA; SW Fisheries Sci Ctr, La Jolla, CA 92037 USA</t>
  </si>
  <si>
    <t>University of California System; University of California Irvine; National Oceanic Atmospheric Admin (NOAA) - USA</t>
  </si>
  <si>
    <t>Logerwell, EA (corresponding author), SW Fisheries Ctr, 8604 La Jolla Shores Dr, La Jolla, CA 92037 USA.</t>
  </si>
  <si>
    <t>, David/ABC-8990-2022</t>
  </si>
  <si>
    <t>, David/0000-0001-5083-8854</t>
  </si>
  <si>
    <t>10.1111/j.1600-0587.1998.tb00674.x</t>
  </si>
  <si>
    <t>ZL149</t>
  </si>
  <si>
    <t>WOS:000073403700012</t>
  </si>
  <si>
    <t>van den Brink, NW; van Franeker, JA; de Ruiter-Dijkman, EM</t>
  </si>
  <si>
    <t>Fluctuating concentrations of organochlorine pollutants during a breeding season in two Antarctic seabirds: Adelie penguin and southern fulmar</t>
  </si>
  <si>
    <t>ENVIRONMENTAL TOXICOLOGY AND CHEMISTRY</t>
  </si>
  <si>
    <t>organochlorines; physiological condition; breeding cycle; Antarctica; seabirds</t>
  </si>
  <si>
    <t>PYGOSCELIS-ADELIAE; EAST ANTARCTICA; RAUER-GROUP; PCBS; GLACIALOIDES; INCUBATION; ENERGETICS; PETRELS; BIOLOGY; ISLAND</t>
  </si>
  <si>
    <t>During the reproductive cycle significant fluctuations of concentrations of organochlorine pollutants were detected in blood and uropygial oil from Adelie penguins (Pygoscelis adeliae) and southern fulmars (Fulmarus glacialoides) from Hop Island, Antarctica. In the Adelie penguin, concentrations of polychlorinated biphenyls (PCBs) and dieldrin were significantly higher at the moment of egg laying, while hexachlorobenzene (HCB) and 2,2-bis(p-chlorophenyl)-1,1-dichloroethylene (p,p'-DDE) concentrations peaked at the creche stage. Subcutaneous fat is the main pool for HCB and p,p'-DDE, while PCBs and dieldrin are also stored in the pectoral muscle. It is hypothesized that the observed differences in seasonal fluctuations in organochlorine levels are related to utilization of different storage pools by the Adelie penguins at different moments in the breeding season. In the southern fulmar the fluctuations in concentrations of HCB and p,p'-DDE can be related to changes in body mass. However, concentrations of PCBs and dieldrin did not vary significantly during the season. It seems that the two groups of compounds are governed more or less independently in the southern fulmar as well. Age-dependent accumulation of most organochlorines studied reached a steady state before the age at which both species start to breed. This allows monitoring of individual birds to analyze changes in concentrations of organochlorine pollutants in the ecosystem, without having to correct for age differences. Differences in levels of organochlorine pollutants between the Adelie penguin and southern fulmar were probably the result of differences in feeding ecology.</t>
  </si>
  <si>
    <t>DLO, IBN, Inst Forestry &amp; Nat Res, NL-6700 AA Wageningen, Netherlands</t>
  </si>
  <si>
    <t>DLO, IBN, Inst Forestry &amp; Nat Res, POB 23, NL-6700 AA Wageningen, Netherlands.</t>
  </si>
  <si>
    <t>n.w.vandenbrink@ibn.dlo.nl</t>
  </si>
  <si>
    <t>van den Brink, Paul J/E-8315-2013</t>
  </si>
  <si>
    <t>van den Brink, Nico/0000-0001-7959-3344</t>
  </si>
  <si>
    <t>0730-7268</t>
  </si>
  <si>
    <t>1552-8618</t>
  </si>
  <si>
    <t>ENVIRON TOXICOL CHEM</t>
  </si>
  <si>
    <t>Environ. Toxicol. Chem.</t>
  </si>
  <si>
    <t>10.1002/etc.5620170426</t>
  </si>
  <si>
    <t>ZD357</t>
  </si>
  <si>
    <t>WOS:000072677100026</t>
  </si>
  <si>
    <t>Dmitrenko, I; Dehn, J; Golovin, P; Kassens, H; Zatsepin, A</t>
  </si>
  <si>
    <t>Influence of sea ice on under-ice mixing under stratified conditions: Potential impacts on particle distribution</t>
  </si>
  <si>
    <t>ESTUARINE COASTAL AND SHELF SCIENCE</t>
  </si>
  <si>
    <t>pycnocline; density stratification; Arctic Ocean; drift ice; dirty sea-ice; river runoff</t>
  </si>
  <si>
    <t>SHEAR-FLOW</t>
  </si>
  <si>
    <t>The influence of ice drift upon the thermohaline structure of the upper sea-layer was studied based on CTD-probing near the edge of the eastern Kara Sea ice cover. This study was aimed at investigating the dynamics and spatial-temporal variability of thermohaline frontal boundaries connected with the moving ice edges of different concentration. Investigations revealed that locally mixed thin layers are formed in the subsurface layer under the influence of ice drift. Under conditions of uninterrupted stratification, redistribution and capture of suspended matter within these thin layers may occur. Furthermore, under conditions of freezing and demolition of density stratification in the surface layer, this matter can be redistributed and incorporated into sea ice. (C) 1998 Academic Press Limited.</t>
  </si>
  <si>
    <t>State Res Ctr Russian Federat, Arctic &amp; Antarctic Res Inst, St Petersburg 199397, Russia; GEOMAR Forschungszentrum Marine Geowissensch, D-24148 Kiel, Germany; Russian Acad Sci, PP Shirshov Oceanol Inst, Moscow 117218, Russia</t>
  </si>
  <si>
    <t>Arctic &amp; Antarctic Research Institute; Helmholtz Association; GEOMAR Helmholtz Center for Ocean Research Kiel; Russian Academy of Sciences; Shirshov Institute of Oceanology</t>
  </si>
  <si>
    <t>Dmitrenko, I (corresponding author), State Res Ctr Russian Federat, Arctic &amp; Antarctic Res Inst, 38 Bering St, St Petersburg 199397, Russia.</t>
  </si>
  <si>
    <t>Dmitrenko, Igor/0000-0001-8388-7839</t>
  </si>
  <si>
    <t>0272-7714</t>
  </si>
  <si>
    <t>ESTUAR COAST SHELF S</t>
  </si>
  <si>
    <t>Estuar. Coast. Shelf Sci.</t>
  </si>
  <si>
    <t>10.1006/ecss.1997.0293</t>
  </si>
  <si>
    <t>ZL441</t>
  </si>
  <si>
    <t>WOS:000073433200006</t>
  </si>
  <si>
    <t>Mayes, DF; Rogerson, A; Marchant, HJ; Laybourn-Parry, J</t>
  </si>
  <si>
    <t>Temporal abundance of naked bacterivore amoebae in coastal East Antarctica</t>
  </si>
  <si>
    <t>Antarctic amoebae; ciliates; bacterioplankton; nanoflagellates</t>
  </si>
  <si>
    <t>CLYDE-SEA AREA; NORTH-ATLANTIC; AMEBAS GYMNAMOEBAE; MARINE SNOW; CELL-VOLUME; SEDIMENTS; CARBON; POPULATIONS; SCOTLAND; ESTUARY</t>
  </si>
  <si>
    <t>The densities of naked amoebae in the water column of two coastal sites off Eastern Antarctica were sampled throughout 1993. A few samples were also collected from nearby Ellis Fjord. This is the first study to detail abundances of bacterivore amoebae in Antarctic coastal waters. Overall numbers in the water column were highly variable (below detection to 2000 amoebae l(-1)) and showed no clear seasonal trends. The high scatter in the data is believed to reflect patchiness within the water column; amoebae are predominantly floc-associated. Highest abundances, up to 2626 amoebae l(-1), were recorded at the ice-water interface. The majority of amoebae isolated throughout the year were flattened, fan-shaped vannellids and platyamoebae. Small morphotypes (less than 10 mu m long) were occasionally abundant, comprising up to 45% of the total count. Despite the relatively constant population of amoebae in these coastal waters, their contribution to the total carbon pool of microbial plankton was less than 1%. (C) 1998 Academic Press Limited.</t>
  </si>
  <si>
    <t>Univ Marine Biol Stn, Millport A28 0EG, Scotland; S Dakota Sch Mines &amp; Technol, Dept Chem &amp; Chem Engn, Rapid City, SD 57701 USA; Antarctic Div, Kingston, Tas 7005, Australia; Univ Nottingham, Dept Physiol &amp; Environm Sci, Loughborough LE12 5RD, Leics, England</t>
  </si>
  <si>
    <t>South Dakota School Mines &amp; Technology; Australian Antarctic Division; University of Nottingham</t>
  </si>
  <si>
    <t>Laybourn-Parry, J (corresponding author), Univ Marine Biol Stn, Millport A28 0EG, Scotland.</t>
  </si>
  <si>
    <t>10.1006/ecss.1997.0300</t>
  </si>
  <si>
    <t>WOS:000073433200009</t>
  </si>
  <si>
    <t>Kannan, K; Janiyani, KL; Shivaji, S; Ray, MK</t>
  </si>
  <si>
    <t>Histidine utilisation operon (hut) is upregulated at low temperature in the Antarctic psychrotrophic bacterium Pseudomonas syringae</t>
  </si>
  <si>
    <t>antarctic psychrotroph; Pseudomonas syringae; gene expression; hut operon</t>
  </si>
  <si>
    <t>GRAM-NEGATIVE BACTERIA; COLD SHOCK PROTEINS; ESCHERICHIA-COLI; RIBOSOME SYNTHESIS; BACILLUS-SUBTILIS; INDUCTION; CLONING; GENE; GROWTH; PUTIDA</t>
  </si>
  <si>
    <t>The antarctic psychrotrophic bacterium Pseudomonas syringae was mutagenised using a transposon Tn5-OT182 which facilitates identification of promoter fusions expressing the reporter gene (lacZ) for beta-galactosidase. Most mutants expressed beta-galactosidase both at optimal growth temperature (20-22 degrees C) and at low temperature (4 degrees C). But a small percentage of the mutants (similar to 5%) were unique in that they expressed beta-galactosidase activity predominantly at low temperature. One such mutant was found to have an insertion in the gene for urocanase (hutU) of the histidine utilisation (hut) operon. Direct assay of urocanase and histidase activity in wild-type cells of various antarctic psychrotrophic strains including P. syringae, P. fluorescens and P. putida also suggested that the hut operon is expressed at an elevated level at low temperature. (C) 1998 Published by Elsevier Science B.V.</t>
  </si>
  <si>
    <t>APR 1</t>
  </si>
  <si>
    <t>10.1111/j.1574-6968.1998.tb12922.x</t>
  </si>
  <si>
    <t>ZF053</t>
  </si>
  <si>
    <t>WOS:000072858000002</t>
  </si>
  <si>
    <t>Grossman, EE; Fletcher, CH</t>
  </si>
  <si>
    <t>Sea level higher than present 3500 years ago on the northern main Hawaiian Islands</t>
  </si>
  <si>
    <t>AGES; OAHU; CALIBRATION; SUBSIDENCE; HISTORY; CORALS</t>
  </si>
  <si>
    <t>New data from an emerged coastal bench and associated fossil beach on Kapapa Island (Oahu), Hawaii, preserve a detailed history of middle to late Holocene sea level. These include 29 new calibrated radiocarbon ages and elevations indicating mean sea level reached a maximum position of 2.00 +/- 0.35 m ca. 3500 yr B.P. These results correlate with additional evidence from Hawaii and other Pacific islands and provide constraints on Oahu's long-term uplift rate (0.03-0.07 mm/yr), previously based solely on Pleistocene age shorelines. Our sea-level reconstruction is consistent with geophysical model predictions of Earth's geoid response to the last deglaciation and with observations of increased Antarctic ice volume during the late Holocene.</t>
  </si>
  <si>
    <t>Univ Hawaii, Sch Ocean &amp; Earth Sci &amp; Technol, Dept Geol &amp; Geophys, Honolulu, HI 96822 USA</t>
  </si>
  <si>
    <t>University of Hawaii System</t>
  </si>
  <si>
    <t>Grossman, EE (corresponding author), Univ Hawaii, Sch Ocean &amp; Earth Sci &amp; Technol, Dept Geol &amp; Geophys, 1680 East West Rd, Honolulu, HI 96822 USA.</t>
  </si>
  <si>
    <t>10.1130/0091-7613(1998)026&lt;0363:SLHTPY&gt;2.3.CO;2</t>
  </si>
  <si>
    <t>ZG996</t>
  </si>
  <si>
    <t>WOS:000073061500019</t>
  </si>
  <si>
    <t>Milne, GA; Mitrovica, JX</t>
  </si>
  <si>
    <t>Postglacial sea-level change on a rotating Earth</t>
  </si>
  <si>
    <t>Earth's rotation; glacial rebound; sea level</t>
  </si>
  <si>
    <t>GLACIAL-ISOSTATIC-ADJUSTMENT; EASTERN NORTH-AMERICA; POLAR WANDER; PLEISTOCENE DEGLACIATION; MANTLE VISCOSITY; TIDE; RECORD; MODEL</t>
  </si>
  <si>
    <t>We present a complete derivation of the equation governing long-term sea-level variations on a spherically symmetric, self-gravitating, Maxwell viscoelastic planet. This new 'sea-level equation' extends earlier work by incorporating, in a gravitationally self-consistent manner, both a time-dependent ocean-continent geometry and the influence of contemporaneous perturbations to the rotation vector of the planet. We also outline an efficient, pseudo-spectral, numerical methodology for the solution of this equation, and present a variety of predictions, based on a suite of earth models, of relative sea level (RSL) variations due to glacial isostatic adjustment (GIA). These results show that the contribution to the predicted RSL signal from GIA-induced perturbations to the rotation vector can reach 7-8 m over the postglacial period in geographic regions where the rotationally induced signal is a maximum. This result is sensitive to variations in the adopted lower-mantle viscosity and is relatively insensitive to variations in the adopted lithospheric thickness. We also show that the rotationally induced component of RSL change is sufficient to influence previous estimates of Late Holocene melting events and ongoing sea-level change due to GIA which were based on a RSL theory for a non-rotating Earth. In particular, estimates of Antarctic melting over the last 5 kyr, based on the amplitude of sea-level highstands from the Australian region, may require an adjustment downwards of the order of 0.5 m of equivalent sea-level rise. Furthermore, present-day rates of sea-level change are perturbed by as much as similar to 0.2 mm yr(-1) by the rotational component of sea-level change, and this has implications for GIA corrections of the global tide gauge record. Over the period from the last glacial maximum to the present, we predict a distinctly non-monotonic variation in the rotation-induced component of RSL. This is in agreement with our previous preliminary study (Milne &amp; Mitrovica 1996), but contrasts significantly with predictions presented by Han &amp; Wahr (1989) and Bills &amp; James (1996). We demonstrate that the disagreement arises as a consequence of approximations adopted in the latter studies. We furthermore refute an assertion by Bills &amp; James (1996) that previously published constraints on mantle viscosity and ice-sheet histories which did not incorporate a rotation-induced RSL component are 'largely invalidated' by this omission.</t>
  </si>
  <si>
    <t>Univ Toronto, Dept Phys, Toronto, ON M5S 1A7, Canada</t>
  </si>
  <si>
    <t>University of Toronto</t>
  </si>
  <si>
    <t>Milne, GA (corresponding author), Univ Toronto, Dept Phys, 60 St George St, Toronto, ON M5S 1A7, Canada.</t>
  </si>
  <si>
    <t>10.1046/j.1365-246X.1998.1331455.x</t>
  </si>
  <si>
    <t>ZH461</t>
  </si>
  <si>
    <t>WOS:000073112600004</t>
  </si>
  <si>
    <t>Stossel, A; Kim, SJ</t>
  </si>
  <si>
    <t>An interannual Antarctic sea-ice - ocean mode</t>
  </si>
  <si>
    <t>MIXED BOUNDARY-CONDITIONS; THERMOHALINE CIRCULATION; CIRCUMPOLAR CURRENT; TEMPERATURE; PRESSURE; WATER; LAYER; WIND; DEEP</t>
  </si>
  <si>
    <t>By means of a global coupled sea-ice - ocean model we propose an oscillating mechanism in the Antarctic region with the same frequency as that associated with the Antarctic Circumpolar Wave (ACW) [White and Peterson, 1996]. Since our model is forced from the atmosphere with climatological monthly data with an annual repeat cycle, our oscillation suggests an internal mode of the sea-ice - ocean system rather than one which is dictated by global links through the atmosphere. This mode is robust for a wide range of parameterisation and forcing of Southern Ocean sea-ice, except for the case where higher rates of new-ice production and thus Antarctic Bottom-Water (AABW) formation are enforced. The present results imply that the sea-ice - ocean system itself may produce regional oscillations at a 4-year period in climatic conditions of relatively weak rates of AABW formation, which may contribute to regionally sustaining the ACW pattern.</t>
  </si>
  <si>
    <t>Stossel, A (corresponding author), Texas A&amp;M Univ, Dept Oceanog, College Stn, TX 77843 USA.</t>
  </si>
  <si>
    <t>10.1029/98GL00723</t>
  </si>
  <si>
    <t>ZE646</t>
  </si>
  <si>
    <t>WOS:000072815400019</t>
  </si>
  <si>
    <t>Siegert, MJ; Hodgkins, R; Dowdeswell, JA</t>
  </si>
  <si>
    <t>A chronology for the Dome C deep ice-core site through radio-echo layer correlation with the Vostok ice core, Antarctica</t>
  </si>
  <si>
    <t>Ice at the new Dome C drill site is correlated directly with the Vostok ice-core record using internal radio-echo layering in the Antarctic Ice Sheet. Layering observed on 60 MHz radar records at ice depths greater than 1000 m is a result of electro-magnetic wave reflections from acidic ice layers formed, it is assumed, by volcanic eruption-derived aerosols. These acidic layers represent isochronous surfaces within the ice sheet. We are able to trace five prominent layers for over 500 km across the Antarctic Ice Sheet, between Vostok and the new ice-core site at Dome C. This correlates the stratigraphy and depth-age relationship between the two sites. The thickness of ice deposited over the last glacial cycle (120,000 years) at Dome C is 300 m greater than at Vostok and, at comparable depths, the ice at Dome C is between about 10,000 and 25,000 years younger than at Vostok.</t>
  </si>
  <si>
    <t>Univ Wales, Inst Geog &amp; Earth Sci, Ctr Glaciol, Aberystwyth SY23 3DB, Dyfed, Wales; Univ London Royal Holloway &amp; Bedford New Coll, Dept Geog, Egham TW20 0EX, Surrey, England</t>
  </si>
  <si>
    <t>Aberystwyth University; University of London; Royal Holloway University London</t>
  </si>
  <si>
    <t>Siegert, MJ (corresponding author), Univ Wales, Inst Geog &amp; Earth Sci, Ctr Glaciol, Aberystwyth SY23 3DB, Dyfed, Wales.</t>
  </si>
  <si>
    <t>Siegert, Martin/M-9939-2019; Siegert, Martin J/A-3826-2008; Hodgkins, Richard/F-5430-2011</t>
  </si>
  <si>
    <t>Siegert, Martin/0000-0002-0090-4806; Siegert, Martin J/0000-0002-0090-4806; Dowdeswell, Julian/0000-0003-1369-9482</t>
  </si>
  <si>
    <t>10.1029/98GL00718</t>
  </si>
  <si>
    <t>WOS:000072815400022</t>
  </si>
  <si>
    <t>Cobley, ND; Croxall, JP; Prince, PA</t>
  </si>
  <si>
    <t>Individual quality and reproductive performance in the Grey-headed Albatross Diomedea chrysostoma</t>
  </si>
  <si>
    <t>WANDERING ALBATROSS; GROWTH; EXPERIENCE; SUCCESS; CHICKS; SIZE; AGE</t>
  </si>
  <si>
    <t>The reproductive performances of Grey-headed Albatrosses Diomedea chrysostoma with a previous record (greater than or equal to 5 years) of consistent success (greater than or equal to 70% chicks fledged from eggs laid-top birds) or failure (greater than or equal to 70% of attempts failed-bottom birds) were compared during 1993-1995, In 1995, top birds arrived back at the colony significantly earlier, had significantly shorter first and second incubation shifts and hatched larger chicks which grew significantly faster than bottom birds, In 1994, top birds also had larger hatchlings with higher rates of growth than bottom birds, In 1994, top birds had significantly higher hatching, fledging and therefore overall breeding success than bottom birds; very similar trends were evident in 1993 and 1995. Chick-rearing success and all indices of chick growth suggested that food availability was high in 1995 (and 1993) and low in 1994. Therefore the superior performance of top birds was maintained in years of very different conditions, with the chick-rearing period particularly critical, A simple model (using published demographic parameters for Grey-headed Albatrosses on South Georgia) suggests that top birds would produce 2.5 more chicks over their lifetime than bottom birds. With the currently declining population numbers, the relative contribution of top birds to the next generation may be even greater than this.</t>
  </si>
  <si>
    <t>10.1111/j.1474-919X.1998.tb04395.x</t>
  </si>
  <si>
    <t>ZF873</t>
  </si>
  <si>
    <t>WOS:000072941800016</t>
  </si>
  <si>
    <t>Simmonds, I; Jones, DA</t>
  </si>
  <si>
    <t>The mean structure and temporal variability of the semiannual oscillation in the southern extratropics</t>
  </si>
  <si>
    <t>Southern Hemisphere; Antarctic; half-yearly wave; semiannual oscillation; sea-level pressure; temperature gradient; variability; Fourier analysis</t>
  </si>
  <si>
    <t>ANNUAL CYCLE; HEMISPHERE; CLIMATOLOGY; CYCLONES; 500-MB</t>
  </si>
  <si>
    <t>The semiannual oscillation of the pressure and mid-tropospheric baroclinicity in the southern extratropics has been studied using 21 years (1973-1993) of numerical Southern Hemisphere analyses and long series of pressure data from a number of mid-and high latitude stations. Using recent data and techniques not previously documented, this study has verified that the semiannual oscillation is an important but highly variable feature of the annual cycle of pressure and meridional temperature gradient. In the pressure, the half-yearly wave attains its greatest amplitudes in the mid-latitude ocean basins and on the Antarctic periphery, with a minimum near 55 degrees S. The semiannual oscillation of the temperature gradient is strongest near 60 degrees S, where it explains typically 50% of the mean annual variance of monthly data, and the harmonic maxima (strongest gradients) occur during the transition seasons. Analysis of the temporal behaviour of the half-yearly wave has revealed considerable variability on interannual to decadal time scales. The comparison and correlation of the temporal variability of the mid-and high latitude components of the semiannual oscillation of the pressure has revealed that these are statistically related and the strength of the relationship is greatest for variations occurring on longer time scales. In both the mid-and high latitudes the temporal variability of the semiannual oscillation of pressure has been found to be statistically related to the variability of the high latitude temperature gradient. These observations suggest that the differing annual cycles of temperature in the mid-and high southern latitudes not only give rise to the semiannual oscillation of the pressure in the mean, but, in addition, the variability of this dynamic phenomenon is linked to the variability of the thermal gradients. These findings suggest that a key to understanding the temporal variability of pressure in the southern extratropics on annual to decadal time scales lies in the understanding of the large scale variability of the temperature gradients. (C) 1998 Royal Meteorological Society.</t>
  </si>
  <si>
    <t>Bur Meteorol Res Ctr, Melbourne, Vic 3001, Australia; Univ Melbourne, Sch Earth Sci, Parkville, Vic 3052, Australia</t>
  </si>
  <si>
    <t>Bureau of Meteorology - Australia; University of Melbourne</t>
  </si>
  <si>
    <t>Jones, DA (corresponding author), Bur Meteorol Res Ctr, GPO Box 1289K, Melbourne, Vic 3001, Australia.</t>
  </si>
  <si>
    <t>d.jones@bom.gov.au</t>
  </si>
  <si>
    <t>10.1002/(SICI)1097-0088(199804)18:5&lt;473::AID-JOC266&gt;3.0.CO;2-0</t>
  </si>
  <si>
    <t>ZL439</t>
  </si>
  <si>
    <t>WOS:000073433000001</t>
  </si>
  <si>
    <t>Malhotra, AS; Pal, K; Prasad, R; Bajaj, AC; Kumar, R; Sawhney, RC</t>
  </si>
  <si>
    <t>Plasma insulin and growth hormone during Antarctic residence</t>
  </si>
  <si>
    <t>JAPANESE JOURNAL OF PHYSIOLOGY</t>
  </si>
  <si>
    <t>Antarctica; insulin; growth hormone</t>
  </si>
  <si>
    <t>THERMOREGULATION; GLUCOSE</t>
  </si>
  <si>
    <t>Circulatory levels of insulin and growth hormone (GH) were estimated in nine tropical euglycemic men in New Delhi and during the first week of every month of stay in Dakshin Gangotri, Antarctica. Prolonged residency in Antarctica did not alter GH levels because mean GH values during Austral summer and Austral winter were not significantly different from the New Delhi values. Compared with GH, the insulin levels during March, April, and June were found to be significantly lower than the New Delhi values. In Antarctica, the insulin levels in March, April, May, June, July, and August were also found to be significantly lower than the December values. This decline in insulin in Antarctica might be important in increasing substrate availability for heat production by facilitating lipolysis and hepatic glucose output.</t>
  </si>
  <si>
    <t>Def Inst Physiol &amp; Allied Sci, Dept Endocrinol &amp; Metab, Delhi 110054, India</t>
  </si>
  <si>
    <t>Sawhney, RC (corresponding author), Def Inst Physiol &amp; Allied Sci, Dept Endocrinol &amp; Metab, Lucknow Rd, Delhi 110054, India.</t>
  </si>
  <si>
    <t>CENTER ACADEMIC PUBL JAPAN</t>
  </si>
  <si>
    <t>4-16 YAYOI 2-CHOME, BUNKYO-KU, TOKYO, 113, JAPAN</t>
  </si>
  <si>
    <t>0021-521X</t>
  </si>
  <si>
    <t>JPN J PHYSIOL</t>
  </si>
  <si>
    <t>Jpn. J. Physiol.</t>
  </si>
  <si>
    <t>10.2170/jjphysiol.48.167</t>
  </si>
  <si>
    <t>ZY116</t>
  </si>
  <si>
    <t>WOS:000074588200009</t>
  </si>
  <si>
    <t>Hahn, S</t>
  </si>
  <si>
    <t>Breeding and biometrics of Blackbellied Stormpetrel (Fregetta tropica) at King George Island, Antarctic</t>
  </si>
  <si>
    <t>JOURNAL FUR ORNITHOLOGIE</t>
  </si>
  <si>
    <t>German</t>
  </si>
  <si>
    <t>Procellariformes; chick development; brood patch; breeder; nonbreeder</t>
  </si>
  <si>
    <t>TAILED STORM-PETREL</t>
  </si>
  <si>
    <t>During the austral summer of 1995/96 breeding aspects and biometrics of Blackbellied Stormpetrels Fregetta tropica at King George Island south Shetlands, were observed. The pre-laying period lasted until the end of December when the main laying time began. In the incubation period (duration 39-42 days) the breeding shifts of females and males were on average 1.6 and 1.8 days, respectively. Frequencies of breeding spells decreased dramatically towards the end of the incubation period. The chicks mainly hatched in the beginning/middle of February. Chick development was characterized by individually differing increases of body mass. After 20-25 days they reached adult body mass; the observed mass maximum was 109.9 g (193% of adult body mass). The development of body mass, wing length and tarsus length could be approximated using sigmoidal regression curves. 28 sexed adult birds showed significant differences only in wing length but not in tarsus length. From the pre-laying till the end of the hatching period the mean brood patch scores decreased from 3.7 (complete brood patch) to 1.4 (broodpatch weakly developed). Birds with well developed brood patches weighed on average 57.3 +/- 4.0 g whereas birds with hardly visible brood patches weighed 53.5 +/- 2.8 g. Because only breeders show brood patches at the end of the incubation period a consideration of both brood patch and body mass allows a reliable classification into breeders or nonbreeders. At the end of the hatching period 67% of all captured birds were nonbreeders.</t>
  </si>
  <si>
    <t>Univ Jena, Inst Okol, D-07743 Jena, Germany</t>
  </si>
  <si>
    <t>Hahn, S (corresponding author), Univ Jena, Inst Okol, Dornburger Str 159, D-07743 Jena, Germany.</t>
  </si>
  <si>
    <t>DEUTSCHE ORNITHOLOGIE-GESELL</t>
  </si>
  <si>
    <t>SENCKENBERGANLAGE 25, W-6000 FRANKFURT, GERMANY</t>
  </si>
  <si>
    <t>0021-8375</t>
  </si>
  <si>
    <t>J ORNITHOL</t>
  </si>
  <si>
    <t>J. Ornithol.</t>
  </si>
  <si>
    <t>10.1007/BF01651224</t>
  </si>
  <si>
    <t>ZT037</t>
  </si>
  <si>
    <t>WOS:000074041300004</t>
  </si>
  <si>
    <t>Wood, RA</t>
  </si>
  <si>
    <t>Time step sensitivity and accelerated spinup of an ocean GCM with a complex mixing scheme</t>
  </si>
  <si>
    <t>GENERAL-CIRCULATION MODELS; ATMOSPHERE MODEL; THERMOHALINE CIRCULATION; NUMERICAL-MODELS; WORLD OCEAN; PARAMETERIZATION; CLIMATE; EQUILIBRIUM; ADJUSTMENT; STABILITY</t>
  </si>
  <si>
    <t>The distorted physics (DP) technique of Bryan and Lewis is applied to an ocean GCM to allow longer time steps to be taken. The model includes a hybrid vertical mixing scheme for tracers, consisting of a Kraus-Turner mixed laver model and a Richardson number-dependent diffusion term. The model also includes rotation of the diffusive tracer fluxes along the isopycnal surfaces, according to the scheme of Redi. The focus of this paper is on the interaction of DP with this mixing scheme, rather than on the physical performance of the scheme itself. With standard parameter settings as used in a recent climate change study the equilibrium solutions produced in a long integration using DP and a time step of 1 day are not robust and drift on switching back to the standard time step of 1 h (without DP). Three regions are affected: the Antarctic Circumpolar Current, the Greenland-Iceland-Norwegian (GIN) Sea, and the base of the tropical mixed layer. The drifts are found to be due both to the DP technique itself and to the time step sensitivities in the model that are independent of DP. Modifications to the isopycnal diffusion scheme are presented, which eliminate the drifts in the Antarctic Circumpolar Current and GIN Sea. However the drift at the base of the tropical mixed layer is found to be due to an interaction between the mixed layer model, the Richardson number-dependent diffusion, and the implicit time stepping used for the diffusion equation. This is demonstrated in an idealized one-dimensional model. In the current coarse-resolution GCM configuration, the Richardson number dependence has little effect on the model's equilibrium solution (in the small time step limit), so the time step dependence can be reduced by removing the Richardson number scheme. However, in models with finer (horizontal) resolution, such as those currently used for studies of tropical variability and the next generation of global climate models, this is unlikely to be acceptable. Integrated diffusion-only mixing schemes may be the most practical long-term solution. Meanwhile, care is needed when using hybrid mixing schemes as in the current study to ensure that time truncation errors are at an acceptable level.</t>
  </si>
  <si>
    <t>Meteorol Off, Hadley Ctr Climate Predict &amp; Res, Bracknell RG12 2SZ, Berks, England</t>
  </si>
  <si>
    <t>Met Office - UK; Hadley Centre</t>
  </si>
  <si>
    <t>Wood, RA (corresponding author), Meteorol Off, Hadley Ctr Climate Predict &amp; Res, London Rd, Bracknell RG12 2SZ, Berks, England.</t>
  </si>
  <si>
    <t>rwood@meto.gcv.uk</t>
  </si>
  <si>
    <t>10.1175/1520-0426(1998)015&lt;0482:TSSAAS&gt;2.0.CO;2</t>
  </si>
  <si>
    <t>ZD426</t>
  </si>
  <si>
    <t>WOS:000072684000011</t>
  </si>
  <si>
    <t>Jones, GOL; Davis, CJ</t>
  </si>
  <si>
    <t>Occurrence and characteristics of high-latitude mesospheric echoes at MF: observations by Halley and Tromso dynasondes</t>
  </si>
  <si>
    <t>POLAR MESOSPHERE; SUMMER ECHOES; MESOPAUSE REGION; PARTIAL REFLECTIONS; LOWER THERMOSPHERE; RADAR MEASUREMENTS; VHF ECHOES; TURBULENCE; REDUCTION; EISCAT</t>
  </si>
  <si>
    <t>The dynasonde at Halley, Antarctica, is operated throughout the year making ionogram soundings every five minutes. The extensive database of observations from 1993 and 1994 has been processed to investigate ionogam echoes from mesospheric heights. The occurrence of these echoes shows a very clear seasonal trend with far more echoes observed during the winter. The echoes are shown to be predominantly dependent on the absence of direct solar illumination. The characteristics of the echoes are compared with similar observations from a northern hemisphere site at Tromso, Norway. The observations from Halley and Tromso are discussed in relation to Polar Mesosphere Summer Echoes (PMSE) which are seen at higher radio frequencies above Tromso. It is found that ionogram mesospheric echoes have different occurrence statistics from PMSE and there is no statistical evidence to suggest that the echoes observed during the summer are different from those observed at other times of year. (C) 1998 Elsevier Science Ltd. All rights reserved.</t>
  </si>
  <si>
    <t>British Antarctic Survey, NERC, Cambridge CB3 0ET, England; Rutherford Appleton Lab, Didcot OX11 0QX, Oxon, England</t>
  </si>
  <si>
    <t>UK Research &amp; Innovation (UKRI); Natural Environment Research Council (NERC); NERC British Antarctic Survey; UK Research &amp; Innovation (UKRI); Science &amp; Technology Facilities Council (STFC); STFC Rutherford Appleton Laboratory</t>
  </si>
  <si>
    <t>Jones, GOL (corresponding author), British Antarctic Survey, NERC, Cambridge CB3 0ET, England.</t>
  </si>
  <si>
    <t>Davis, Chris/AFO-8497-2022; Scott, Christopher/H-8664-2012</t>
  </si>
  <si>
    <t>Davis, Chris/0000-0002-9613-928X; Scott, Christopher/0000-0001-6411-5649</t>
  </si>
  <si>
    <t>10.1016/S1364-6826(98)00010-8</t>
  </si>
  <si>
    <t>100HG</t>
  </si>
  <si>
    <t>WOS:000074810300004</t>
  </si>
  <si>
    <t>Bluestein, M</t>
  </si>
  <si>
    <t>An evaluation of the wind chill factor: Its development and applicability</t>
  </si>
  <si>
    <t>JOURNAL OF BIOMECHANICAL ENGINEERING-TRANSACTIONS OF THE ASME</t>
  </si>
  <si>
    <t>The wind chill factor has become a standard meteorologic term in cold climates. Meteorologic charts provide wind chill temperatures meant to represent the hypothetical air temperature that would, under-conditions of no wind effect the same hear loss from unclothed human skin as does the actual combination of air temperature and wind velocity. As this wind chill factor has social and economic significance, an investigation was conducted on the development of this factor and its applicability based on modern heat transfer principles. The currently used wind chill factor was found to be based on a primitive study conducted by the U.S. Antarctic Service over 50 years ago. The resultant equation for the wind chill temperature assumes an unrealistic constant skin temperature and utilizes heat transfer coefficients that differ markedly from those obtained from equations of modern convective heat transfer methods. The combined effect of these two factors is to overestimate the effect of a given wind velocity and to predict a wind chill temperature that is too low.</t>
  </si>
  <si>
    <t>Indiana Univ Purdue Univ, Purdue Sch Engn &amp; Technol, Dept Mfg Technol, Indianapolis, IN 46202 USA</t>
  </si>
  <si>
    <t>Purdue University System; Purdue University; Indiana University System; Indiana University-Purdue University Indianapolis</t>
  </si>
  <si>
    <t>Bluestein, M (corresponding author), Indiana Univ Purdue Univ, Purdue Sch Engn &amp; Technol, Dept Mfg Technol, 799 W Michigan St,Room 301G, Indianapolis, IN 46202 USA.</t>
  </si>
  <si>
    <t>bluestei@tech.iupui.edu</t>
  </si>
  <si>
    <t>ASME-AMER SOC MECHANICAL ENG</t>
  </si>
  <si>
    <t>345 E 47TH ST, NEW YORK, NY 10017 USA</t>
  </si>
  <si>
    <t>0148-0731</t>
  </si>
  <si>
    <t>J BIOMECH ENG-T ASME</t>
  </si>
  <si>
    <t>J. Biomech. Eng.-Trans. ASME</t>
  </si>
  <si>
    <t>10.1115/1.2798309</t>
  </si>
  <si>
    <t>Biophysics; Engineering, Biomedical</t>
  </si>
  <si>
    <t>Biophysics; Engineering</t>
  </si>
  <si>
    <t>ZM104</t>
  </si>
  <si>
    <t>WOS:000073505100011</t>
  </si>
  <si>
    <t>Weinstein, RB; Somero, GN</t>
  </si>
  <si>
    <t>Effects of temperature on mitochondrial function in the Antarctic fish Trematomus bernacchii</t>
  </si>
  <si>
    <t>cold adaptation; mitochondria; stenothermy; temperature; Trematomus bernacchii</t>
  </si>
  <si>
    <t>ADAPTATION; ACCLIMATION; PLASTICITY; DEPENDENCE</t>
  </si>
  <si>
    <t>Effects of temperature on O-2 consumption by mitochondria of the Antarctic fish Trematomus bernacchii were compared with effects obtained with mitochondria from tropical (Sarotheridon mossambica) and temperate zone fishes (Sebastes carnatus and Sebastes mystinus). Arrhenius plots of O-2 consumption versus temperature exhibited slope discontinuities (breaks) at temperatures (Arrhenius break temperatures: ABTs) reflective of the species' adaptation temperatures. The ABT for mitochondria of T. bernacchii is the lowest reported for any animal and is similar to 12 degrees C below the value predicted by a regression equation based on ABT data for several invertebrates and fishes. The temperature at which the acceptor control ratio (ACR), an index of efficiency of coupling of electron transport to synthesis of ATP, began to decrease with rising temperature also reflected adaptation temperature. The decrease in ACR with rising temperature began at similar to 18 degrees C for mitochondria of T. bernacchii, in contrast to similar to 35 degrees C for mitochondria of Sarotheridon mossambica. Maintaining T. bernacchii at 4 degrees C for 2 weeks led to no changes in ABT or in the response of ACR to temperature. The thermal sensitivities of mitochondria of T. bernacchii reflect the high level of cold adaptation and stenothermy that is characteristic of Antarctic Notothenioid fishes.</t>
  </si>
  <si>
    <t>Univ Arizona, Coll Med, Dept Biochem, Tucson, AZ 85724 USA; Stanford Univ, Hopkins Marine Stn, Dept Biol Sci, Pacific Grove, CA 93950 USA</t>
  </si>
  <si>
    <t>University of Arizona; Stanford University</t>
  </si>
  <si>
    <t>Weinstein, RB (corresponding author), Univ Arizona, Coll Med, Dept Biochem, Tucson, AZ 85724 USA.</t>
  </si>
  <si>
    <t>10.1007/s003600050136</t>
  </si>
  <si>
    <t>ZJ893</t>
  </si>
  <si>
    <t>WOS:000073264300006</t>
  </si>
  <si>
    <t>Duman, JG; Li, N; Verleye, D; Goetz, FW; Wu, DW; Andorfer, CA; Benjamin, T; Parmelee, DC</t>
  </si>
  <si>
    <t>Molecular characterization and sequencing of antifreeze proteins from larvae of the beetle Dendroides canadensis</t>
  </si>
  <si>
    <t>antifreeze proteins; thermal hysteresis proteins; Dendroides canadensis; insect cold tolerance; freeze avoidance</t>
  </si>
  <si>
    <t>THERMAL HYSTERESIS PROTEIN; TENEBRIO-MOLITOR; LITHOBIUS-FORFICATUS; FISH ANTIFREEZES; JUVENILE-HORMONE; ANTARCTIC FISH; FAT-BODY; ICE; PURIFICATION; GLYCOPROTEINS</t>
  </si>
  <si>
    <t>The deduced amino acid sequences of antifreeze proteins (AFPs) from larvae of the beetle Dendroides canadensis were determined from both complementary DNAs (cDNAs) and from peptide sequencing. These consisted of proteins with a 25-residue signal peptide and mature proteins 83 (Dendroides antifreeze protein; DAFP-1) or 84 (DAFP-2) amino acids in length which differed at only two positions. Peptide sequencing yielded sequences which overlapped exactly with those of the deduced cDNA sequences of DAFF-1 and DAFP-2, while the partial sequence of another AFP (DAFP-3) matched 21 of 28 residues. Seven 12- or 13-mer repeating units are present in these antifreeze proteins with a consensus sequence consisting of: Cys-Thr-X-3-Ser-X-5-X-6-Cys-X-8-X-9-Ala-X-11-Thr-X-13, where X-3 and X-11 tend toward charged residues, X-5 tends toward threonine or serine, X-6 toward asparagine or aspartate, X-9 toward asparagine or lysine, and X-13 toward alanine in the 13-mers. The most interesting feature of these proteins is that throughout the length of the mature antifreeze proteins every sixth residue is a cysteine. These sequences are not similar to any of the known fish AFPs, but they are similar to AFPs from the beetle Tenebrio molitor.</t>
  </si>
  <si>
    <t>Univ Notre Dame, Dept Biol Sci, Notre Dame, IN 46556 USA; NCI, Div Basic Sci, Expt Carcinogenesis Lab, Bethesda, MD 20892 USA</t>
  </si>
  <si>
    <t>University of Notre Dame; National Institutes of Health (NIH) - USA; NIH National Cancer Institute (NCI)</t>
  </si>
  <si>
    <t>john.g.duman.@nd.edu</t>
  </si>
  <si>
    <t>Wu, Ding Wen/0000-0001-9199-3092</t>
  </si>
  <si>
    <t>10.1007/s003600050140</t>
  </si>
  <si>
    <t>WOS:000073264300010</t>
  </si>
  <si>
    <t>Childress, JJ; Seibel, BA</t>
  </si>
  <si>
    <t>Life at stable low oxygen levels: Adaptations of animals to oceanic oxygen minimum layers</t>
  </si>
  <si>
    <t>oxygen minimum layer; metabolic rate; adaptation</t>
  </si>
  <si>
    <t>ANTARCTIC MESOPELAGIC FISHES; SANTA-BARBARA BASIN; MIDWATER FISHES; VERTICAL-DISTRIBUTION; CHEMICAL-COMPOSITION; SOUTHERN-CALIFORNIA; METABOLIC RATES; RESPIRATORY ADAPTATIONS; MICRONEKTONIC CRUSTACEA; PROXIMATE COMPOSITION</t>
  </si>
  <si>
    <t>Zones of minimum oxygen level are found at intermediate depths in most of the world's oceans and, although the oxygen partial pressure in some of these 'oxygen minimum layers' is only a fraction of a kilopascal, populations of pelagic metazoans exist there. These oxygen minimum layers are areas of the water column and the associated benthos with stable conditions of continuously low oxygen level and low temperature at intermediate depths (400-1000 m depth) over vast areas. Off California, where P-O2 at the oxygen minimum is 0.8kPa, there are abundant populations of animals both in the water column and on the bottom. Farther to the south in the eastern tropical Pacific, oxygen partial pressures of less than approximately 0.4kPa result in very low biomasses and diversity of animals at minimum layer depths. At the minimum oxygen levels found off California, most animals which inhabit the minimum zones appear to support their routine metabolic demands via aerobic metabolism. They do this by being very effective at removing oxygen from water. Among the adaptations of pelagic crustaceans to these conditions are: (1) enhanced ventilatory abilities, (2) enhanced percentage removal of O-2 from the ventilatory stream, (3) large gill surface areas, (4) short diffusion distances from the water to the blood, and (5) hemocyanin respiratory proteins with a very high affinity for O-2, high cooperativity and large Bohr effects. The lower O-2, consumption rates of many deeper-living species are also functionally adaptive in that they facilitate aerobic survival at low P-O2,. However, they are not adaptations to the minimum layer, since similarly low rates are found in the same and comparable species living at the same depths in regions without well-developed minima, and these animals are unable to survive at the low P-O2 values of the minima. While anaerobic metabolism may be important for metabolic rates above the routine level for most animals in the minimum layer, there is little evidence for the use of sustained anaerobiosis in the species studied. In summary, given the stable presence of very low O-2 levels in the minima, the primary adaptations of animals living within them are those that support aerobic metabolism by giving the animals remarkable abilities to extract O-2 from water. These abilities are notably better than those of animals adapted to unstable hypoxic environments, such as intertidal mudflats, while the latter animals rely to a much greater extent on anaerobiosis and perhaps on metabolic suppression to survive periods of anoxia.</t>
  </si>
  <si>
    <t>Univ Calif Santa Barbara, Dept Ecol Evolut &amp; Marine Biol, Santa Barbara, CA 93106 USA; Univ Calif Santa Barbara, Inst Marine Sci, Santa Barbara, CA 93106 USA</t>
  </si>
  <si>
    <t>Univ Calif Santa Barbara, Dept Ecol Evolut &amp; Marine Biol, Santa Barbara, CA 93106 USA.</t>
  </si>
  <si>
    <t>childres@lifesci.uscb.edu</t>
  </si>
  <si>
    <t>COMPANY BIOLOGISTS LTD</t>
  </si>
  <si>
    <t>BIDDER BUILDING, STATION RD, HISTON, CAMBRIDGE CB24 9LF, ENGLAND</t>
  </si>
  <si>
    <t>1477-9145</t>
  </si>
  <si>
    <t>ZP632</t>
  </si>
  <si>
    <t>WOS:000073772900016</t>
  </si>
  <si>
    <t>Smith, AJ; Nunn, D</t>
  </si>
  <si>
    <t>Numerical simulation of VLF risers, fallers, and hooks observed in Antarctica</t>
  </si>
  <si>
    <t>WAVE-PARTICLE INTERACTIONS; VLASOV HYBRID SIMULATION; SIPLE-STATION; MAGNETOSPHERE; EMISSIONS; FREQUENCY; STIMULATION; CHORUS; PLASMA; SPACE</t>
  </si>
  <si>
    <t>The VLF database from Halley station, Antarctica, has been searched and prominent examples of discrete emissions are presented. Risers, fallers, quasiconstant tones, and upward and downward hooks are all common. Also observed are risers and fallers triggered from the tops of hiss bands. A one-dimensional Vlasov VHS code has been used to simulate the main types of events observed. Using realistic plasma parameters, the code successfully reproduces the main kinds of events observed, in good qualitative agreement with observations. Distinct generation region structures ale found to be associated with risers and fallers. Hook formation is interpreted as being a spontaneous transition between these two quasi-stable generation region structures.</t>
  </si>
  <si>
    <t>British Antarctic Survey, Cambridge CB3 0ET, England; Univ Southampton, Dept Elect &amp; Comp Sci, Southampton SO17 1BJ, Hants, England</t>
  </si>
  <si>
    <t>UK Research &amp; Innovation (UKRI); Natural Environment Research Council (NERC); NERC British Antarctic Survey; University of Southampton</t>
  </si>
  <si>
    <t>Smith, AJ (corresponding author), British Antarctic Survey, Madingley Rd, Cambridge CB3 0ET, England.</t>
  </si>
  <si>
    <t>A.J.Smith@bas.ac.uk; D.Nunn@ecs.soton.ac.uk</t>
  </si>
  <si>
    <t>A4</t>
  </si>
  <si>
    <t>10.1029/97JA03396</t>
  </si>
  <si>
    <t>ZF972</t>
  </si>
  <si>
    <t>WOS:000072951700026</t>
  </si>
  <si>
    <t>Rodger, CJ; Molchanov, OA; Thomson, NR</t>
  </si>
  <si>
    <t>Relaxation of transient ionization in the lower ionosphere</t>
  </si>
  <si>
    <t>ELECTRON-TEMPERATURE DEPENDENCE; NIGHTTIME D-REGION; RAPID ONSET; PERTURBATIONS; RECOMBINATION; MODEL; PRECIPITATION; SCATTERING; FREQUENCY; SPRITES</t>
  </si>
  <si>
    <t>This paper presents a set of basic expressions and parameters to describe the relaxation of ionization in the upper atmosphere and lower ionosphere. Both spatial (diffusion) and chemical loss are included, along with the varying electrical conductivity caused by changing electron density and temperature. In particular, reasonable values for the attachment rates and recombination coefficients at these high altitudes are discussed. Example calculations are given involving studies into red sprites. However, the modeling and parameters are not restricted to these events, and might well be useful in a number of other modeling problems.</t>
  </si>
  <si>
    <t>Natl Space Dev Agcy Japan, Earth Observat Res Ctr, Minato Ku, Tokyo 106, Japan; Univ Otago, Dept Phys, Dunedin, New Zealand</t>
  </si>
  <si>
    <t>Japan Aerospace Exploration Agency (JAXA); University of Otago</t>
  </si>
  <si>
    <t>10.1029/98JA00016</t>
  </si>
  <si>
    <t>WOS:000072951700042</t>
  </si>
  <si>
    <t>Yang, HJ; Frey, FA; Weis, D; Giret, A; Pyle, D; Michon, G</t>
  </si>
  <si>
    <t>Petrogenesis of the flood basalts forming the northern Kerguelen Archipelago: Implications for the Kerguelen Plume</t>
  </si>
  <si>
    <t>Kerguelen Plume; basalt petrogenesis; ocean island basalt; buffered differentiation; plume-lithosphere interaction</t>
  </si>
  <si>
    <t>OS ISOTOPE SYSTEMATICS; SOUTHEAST INDIAN RIDGE; OCEANIC ISLAND BASALTS; TRACE-ELEMENT; GEOCHEMICAL EVIDENCE; TEMPORAL EVOLUTION; NINETYEAST RIDGE; MANTLE HETEROGENEITIES; CONTINENTAL FRAGMENT; MAGMATIC PROCESSES</t>
  </si>
  <si>
    <t>The thick, &gt;20 km, crust of the Kerguelen Archipelago formed as the tectonic setting of the Kerguelen Plume changed from the oceanic ridge-centered location at 43 Ma to its present location beneath the Antarctic plate. The uppermost crust is dominantly flood basalt with a thickness of up to 10 km. Inverse isochron 40Ar/39Ar ages for upper and lower lavas in a 630 m section of basalt flows from Mont Bureau with 30.4 and 29.0 Ma; Re-Os isotopic systematics are consistent with this age. Most of the lavas in two stratigraphic sections (Mont Bureau and Mont Rabouilere) from the northern part of the archipelago have Sr, Nd and Pb isotopic characteristics similar to the youngest (Upper Miocene to Pleistocene) lavas erupted in the southeast part of the archipelago, i.e. initial Sr-87/Sr-86 &gt;0.7050. Nd-143/Nd-144 &lt;0.5127 and Pb-206/Pb-204 &lt;18.3. The dominance of this isotopic signature in archipelago lavas for 30 my and its presence in similar to 40 Ma gabbros is consistent of the Kerguelen Plume. Although this component occurs in high (&gt;10%) MgO alkalic lavas in the Southeast Province of the archipelago, in these northern sections it is confined to transitional lavas with &lt;6% MgO. A low plume flux and extensive crustal processing are inferred. In contrast to the plume-derived lavas, similar to 15% of the flood basalts in these sections have lower initial Sr-87/Sr-86 (to 0.70396), higher Nd-143/Nd-144 (to 0.51289), and they have some compositional characteristics of plagioclase-rich cumulates, i.e. high Sr/Nd and Ba/Th and positive Eu anomalies. However, plagioclase phenocrysts are absent in most of these lavas; therefore a plagioclase-rich component is required in their source. A plausible interpretation is that plagioclase-rich cumulates formed in the lower oceanic crust when the Southeast Indian Ridge was coincident with the plume at similar to 43 Ma; subsequently these cumulates were melted by the plume and the melts contributed to a small proportion of the flood basalts. Previously it was proposed that as the distance between the archipelago and Southeast Indian Ridge increased, there was a systematic decrease in the proportion of mid-ocean ridge basalt (MORB)-related component in the source of archipelago lavas. The new data show that: (1) there is not systematic temporal trend in the proportion of MORB to plume source components and (2) the MORB component was derived from cumulate rocks in the oceanic crust rather than as melts derived directly from the asthenosphere. Finally, there is no evidence of a continental lithosphere component in the source of Kerguelen Archipelago lavas.</t>
  </si>
  <si>
    <t>MIT, Dept Earth Atmospher &amp; Planetary Sci, Cambridge, MA 02139 USA; Free Univ Brussels, Dept Sci Terre &amp; Environm, B-1050 Brussels, Belgium; Universite Jean Monnet, Lab Geol Petrol, CNRS, UMR 6524, St Etienne, France; Woods Hole Oceanog Inst, Woods Hole, MA 02543 USA; San Diego State Univ, Dept Geol, San Diego, CA 92182 USA</t>
  </si>
  <si>
    <t>Massachusetts Institute of Technology (MIT); Universite Libre de Bruxelles; Centre National de la Recherche Scientifique (CNRS); CNRS - National Institute for Earth Sciences &amp; Astronomy (INSU); Institut de Recherche pour le Developpement (IRD); Universite Clermont Auvergne (UCA); Universite Jean Monnet; Woods Hole Oceanographic Institution; California State University System; San Diego State University</t>
  </si>
  <si>
    <t>MIT, Dept Earth Atmospher &amp; Planetary Sci, 77 Massachusetts Ave, Cambridge, MA 02139 USA.</t>
  </si>
  <si>
    <t>Pyle, David M/C-5707-2009; Weis, Dominique A/Q-7658-2016</t>
  </si>
  <si>
    <t>Weis, Dominique A/0000-0002-6638-5543; Frey, Frederick/0000-0002-5403-5677</t>
  </si>
  <si>
    <t>1460-2415</t>
  </si>
  <si>
    <t>10.1093/petroj/39.4.711</t>
  </si>
  <si>
    <t>ZH446</t>
  </si>
  <si>
    <t>WOS:000073111000006</t>
  </si>
  <si>
    <t>Froneman, PW; Pakhomov, EA</t>
  </si>
  <si>
    <t>Biogeographic study of the planktonic communities of the Prince Edward Islands (Southern Ocean)</t>
  </si>
  <si>
    <t>PHYTOPLANKTON PRODUCTION; ATLANTIC SECTOR; FRONTAL ZONES; GEORGIA; BIOMASS; SUMMER; ZOOPLANKTON; ASSEMBLAGES; WINTER</t>
  </si>
  <si>
    <t>Microphytoplankton and zooplankton composition and distribution in the vicinity of the Prince Edward Islands and at the Sub-antarctic Front (SAF) were investigated in late austral summer (April/May) 1996. Samples were collected for analysis of chlorophyll a concentration (Chl a), microphytoplankton and zooplankton abundance. Generally, the highest Chl a concentrations (up to 2.0 mu g l(-1)) and zooplankton densities (up to 192 ind. m(-3)) were recorded at stations within the inter-island area while the lowest values (&lt;0.4 mu g l(-1)) were observed at stations upstream of the islands. High Chi a and zooplankton biomass values were also associated with the SAF. Microphytoplankton were dominated by chain-forming species of the genera Chaetoceros (mainly C. neglectus), Fragilariopsis spp. and the large diatom Dactyliosolen antarcticus. The zooplankton assemblages were always dominated by mesozooplankton which at times contributed up to 98% of total zooplankton abundance and up to 95% of total biomass. Among mesozooplankton, copepods, mainly Clausocalanus brevipes and Metridia lucens numerically dominated. Among the macrozooplankton euphausiids, mainly Euphausia vallentini, E.longirostis and Stylocheiron maximum,and chaetognaths (Sagitta gazellae) accounted for the bulk of abundance and biomass. Cluster and ordination analysis did not identify any distinct biogeographic regions among either the microphytoplankton or zooplankton.</t>
  </si>
  <si>
    <t>10.1093/plankt/20.4.653</t>
  </si>
  <si>
    <t>ZP706</t>
  </si>
  <si>
    <t>WOS:000073780300004</t>
  </si>
  <si>
    <t>Pankhurst, RJ; Leat, PT; Sruoga, P; Rapela, CW; Marquez, M; Storey, BC; Riley, TR</t>
  </si>
  <si>
    <t>The Chon Aike province of Patagonia and related rocks in West Antarctica: A silicic large igneous province</t>
  </si>
  <si>
    <t>JOURNAL OF VOLCANOLOGY AND GEOTHERMAL RESEARCH</t>
  </si>
  <si>
    <t>large igneous province (LIP); volcanic rocks</t>
  </si>
  <si>
    <t>JUAN VOLCANIC FIELD; BACK-ARC BASIN; BREAK-UP; RHYOLITIC IGNIMBRITES; CONTINENTAL MARGINS; ELEMENT EVIDENCE; SOUTH-AMERICA; GRAHAM LAND; PB-ISOTOPE; PENINSULA</t>
  </si>
  <si>
    <t>The field occurrence, age, classification and geochemistry of the Mesozoic volcanic rocks of Patagonia and West Antarctica are reviewed, using published and new information. Dominated by rhyolitic ignimbrites, which form a bimodal association with minor mafic and intermediate lavas, these constitute one of the largest silicic igneous provinces known, equivalent in size to many mafic LIPs. Diachronism is recognized between the Early-Middle Jurassic volcanism of eastern Patagonia (Marifil and Chon Aike formations) and the Middle Jurassic-earliest Cretaceous volcanism of the Andean Cordillera (El Quemado, Ibanez and Tobifera formations). This is accompanied by a change in geochemical characteristics, from relatively high-Zr and -Nb types in the east to subalkaline are-related rocks in the west, although the predominance of rhyolites remains a constant factor. All of the associated mafic rocks are well fractionated compared to direct mantle derivatives. Petrogenetic models favour partial melting of immature lower crust as a result of the intrusion of basaltic magmas, possibly with some hybridisation of the liquids and subsequent fractionation by crystal settling or solidification and remelting. The formation of large amounts of intracrustal silicic melt acted as a density barrier against the further rise of mafic magmas, which an thus rare in the province. (C) 1998 Elsevier Science B.V.</t>
  </si>
  <si>
    <t>British Antarctic Survey, NERC, Kingsley Dunham Ctr, Isotope Geosci Lab, Nottingham NG12 5GG, England; Consejo Nacl Invest Cient &amp; Tecn, SEGEMAR, RA-1322 Buenos Aires, DF, Argentina; Ctr Invest Geol, RA-1900 La Plata, Argentina; Univ Nacl Patagonia, Dept Geol, RA-9000 Comodoro Rivadavia, Argentina</t>
  </si>
  <si>
    <t>UK Research &amp; Innovation (UKRI); Natural Environment Research Council (NERC); NERC British Antarctic Survey; NERC British Geological Survey; Consejo Nacional de Investigaciones Cientificas y Tecnicas (CONICET)</t>
  </si>
  <si>
    <t>Pankhurst, RJ (corresponding author), British Antarctic Survey, NERC, Kingsley Dunham Ctr, Isotope Geosci Lab, High Cross,Madingely Rd, Nottingham NG12 5GG, England.</t>
  </si>
  <si>
    <t>r.pankhurst@bas.ac.uk</t>
  </si>
  <si>
    <t>0377-0273</t>
  </si>
  <si>
    <t>J VOLCANOL GEOTH RES</t>
  </si>
  <si>
    <t>J. Volcanol. Geotherm. Res.</t>
  </si>
  <si>
    <t>10.1016/S0377-0273(97)00070-X</t>
  </si>
  <si>
    <t>ZP053</t>
  </si>
  <si>
    <t>WOS:000073711800007</t>
  </si>
  <si>
    <t>Delpech, P; Palier, P; Gandemer, J</t>
  </si>
  <si>
    <t>Snowdrifting simulation around Antarctic buildings</t>
  </si>
  <si>
    <t>JOURNAL OF WIND ENGINEERING AND INDUSTRIAL AERODYNAMICS</t>
  </si>
  <si>
    <t>2nd European and African Conference on Wind Engineering</t>
  </si>
  <si>
    <t>JUN 22-26, 1997</t>
  </si>
  <si>
    <t>GENOA, ITALY</t>
  </si>
  <si>
    <t>snow research; snow drifting; climatic wind tunnel; environmental testing</t>
  </si>
  <si>
    <t>REQUIREMENTS; SNOW</t>
  </si>
  <si>
    <t>The simulation of wind induced snow drifting around buildings by using real snow in the Jules Verne climatic wind tunnel is described. The Concordia station project is presented as a practical case study to demonstrate the relevance of a typical experimental approach at 1/10 scale. First, the snowdrifting mechanisms are briefly overviewed. Then, the discussion of the experimental procedure is based on similarity parameters proposed in the scientific literature. The gist and the reliability of the simulation which makes use of artificial snow are pointed-out. Finally, the projected solution to alleviate the snowdrift hazard around the Concordia station is presented. (C) 1998 Elsevier Science Ltd. All rights reserved.</t>
  </si>
  <si>
    <t>CSTB, Serv Aerodynam &amp; Environm Climat, F-44323 Nantes 3, France</t>
  </si>
  <si>
    <t>Delpech, P (corresponding author), CSTB, Serv Aerodynam &amp; Environm Climat, 11 Rue Henri Picherit,BP 82341, F-44323 Nantes 3, France.</t>
  </si>
  <si>
    <t>0167-6105</t>
  </si>
  <si>
    <t>J WIND ENG IND AEROD</t>
  </si>
  <si>
    <t>J. Wind Eng. Ind. Aerodyn.</t>
  </si>
  <si>
    <t>APR-AUG</t>
  </si>
  <si>
    <t>74-6</t>
  </si>
  <si>
    <t>10.1016/S0167-6105(98)00051-8</t>
  </si>
  <si>
    <t>Engineering, Civil; Mechanics</t>
  </si>
  <si>
    <t>Engineering; Mechanics</t>
  </si>
  <si>
    <t>110LR</t>
  </si>
  <si>
    <t>WOS:000075383400049</t>
  </si>
  <si>
    <t>Rogers, AD; Clarke, A; Peck, LS</t>
  </si>
  <si>
    <t>Population genetics of the Antarctic heteronemertean Parbolasia corrugatus from the South Orkney Islands</t>
  </si>
  <si>
    <t>BENTHIC MARINE-INVERTEBRATES; NATURAL-POPULATIONS; HETEROZYGOTE DEFICIENCY; EUPHAUSIA-SUPERBA; CONCINNA STREBEL; SEA; ATLANTIC; ALLOZYME; ELECTROPHORESIS; DIFFERENTIATION</t>
  </si>
  <si>
    <t>An allozyme survey, using starch-gel electrophoresis, was carried out on eight populations of the Antarctic nemertean worm Parborlasia corrugatus (McIntosh, 1876) collected from locations around the South Orkney Islands, Antarctica. These populations were separated by distances in the order of tens of kilometres. Genetic variation was estimated over 22 enzyme loci for all populations examined, giving an observed heterozygosity of 0.142. This was much lower than the expected heterozygosity (H-e = 0.201), and it was found that there was a significant deficiency of heterozygotes across four enzyme loci (p less than or equal to 0.01). A more detailed examination of this deficiency of heterozygotes was undertaken for the six populations and six variable enzyme loci for which the most complete data sets existed. A significant deficiency of heterozygotes was found at the enzyme locus Odh-1 for four of the six populations examined (p less than or equal to 0.01). Mean F-is (0.240) indicated a significant (p less than or equal to 0.01) within-population component of the heterozygote deficiency estimated for the six populations sampled, and this was mainly due to the Ap-1, Odh-1 and Pgm-1 loci. The mean F-st value (0.036) was also significant (p less than or equal to 0.01), indicating a degree of genetic differentiation between populations. The observed levels of genetic differentiation between populations of P. corrugatus and the significant heterozygote deficiencies were unexpected, because this species has been reported to have a long-lived planktotrophic larva. It is hypothesised that recruitment of P. corrugatus in the South Orkney Islands originates from genetically distinct populations located in the Weddell Sea and to the west of the Antarctic Peninsula. Shifts in the relative position of the Weddell Sea Front, Weddell-Scotia Confluence and Scotia Front, relative to the South Orkney Islands, provide a mechanism for variation in the origin of recruits over time.</t>
  </si>
  <si>
    <t>Marine Biol Assoc United Kingdom Lab, Plymouth PL1 2PB, Devon, England; British Antarctic Survey, Cambridge CB3 0ET, England</t>
  </si>
  <si>
    <t>Marine Biological Association United Kingdom; UK Research &amp; Innovation (UKRI); Natural Environment Research Council (NERC); NERC British Antarctic Survey</t>
  </si>
  <si>
    <t>Rogers, AD (corresponding author), Univ Southampton, Sch Biol Sci, Div Biodivers &amp; Ecol, Biomed Sci Bldg,Bassett Crescent E, Southampton SO16 7PX, Hants, England.</t>
  </si>
  <si>
    <t>Rogers, Alex David/0000-0002-4864-2980</t>
  </si>
  <si>
    <t>10.1007/s002270050290</t>
  </si>
  <si>
    <t>ZN136</t>
  </si>
  <si>
    <t>WOS:000073613500001</t>
  </si>
  <si>
    <t>Angelini, E; Salvato, B; Di Muro, P; Beltramini, M</t>
  </si>
  <si>
    <t>Respiratory pigments of Yoldia eightsi, an Antarctic bivalve</t>
  </si>
  <si>
    <t>HEMOCYANIN; HEMOGLOBIN; SULFIDE; BACTERIA; SYMBIONTS; MOLLUSCA; GILLS</t>
  </si>
  <si>
    <t>Yoldia eightsi, an infaunal protobranch bivalve inhabiting the soft sediments of the Antarctic Sea, contains hemocyanin in its hemolymph and an intracellular hemoglobin in its gills. The concentration of hemocyanin in the hemolymph of Y. eightsi is very low, but the presence of this protein was documented by transmission electron microscopy after negative staining. The structure of Y. eightsi hemocyanin appears to be remarkably similar to that found in Gastropoda. The intracellular gill hemoglobin can be recovered after osmotic shock of the tissue and is isolated as a monomeric form, the molecular weight of which is 15.7 +/- 0.4 kDa, as detected by FPLC gel-filtration experiments and SDS-PAGE. Isoelectric focusing experiments suggest the presence of a single native component with pI 6.6. Aggregation products accumulate during exposure to air and are resistant to SDS and beta-mercaptoethanol treatment. This process can be avoided by maintaining the sample under a CO atmosphere. The oxygen dissociation curves, determined at pH 7.0 and 7 degrees C, are slightly sigmoidal, giving a Hill constant value of 1.35, probably related to the formation of aggregation products. The affinity for oxygen is moderately high, half saturation occurring at 3.15 mmHg.</t>
  </si>
  <si>
    <t>Univ Padua, Dept Biol, I-35121 Padova, Italy; CNR, Ctr Physiol &amp; Biochem Met Prot, I-35121 Padova, Italy</t>
  </si>
  <si>
    <t>University of Padua; Consiglio Nazionale delle Ricerche (CNR)</t>
  </si>
  <si>
    <t>Beltramini, M (corresponding author), Univ Padua, Dept Biol, Via Ugo Bassi 58-B, I-35121 Padova, Italy.</t>
  </si>
  <si>
    <t>10.1007/s002270050291</t>
  </si>
  <si>
    <t>WOS:000073613500002</t>
  </si>
  <si>
    <t>Contribution of salps to carbon flux of marginal ice zone of the Lazarev sea, southern ocean</t>
  </si>
  <si>
    <t>FECAL PELLETS; GUT PIGMENT; ANTARCTIC PENINSULA; AUSTRAL SUMMER; RATES; ZOOPLANKTON; THALIACEA; TUNICATA; CHLOROPHYLL; DESTRUCTION</t>
  </si>
  <si>
    <t>In order to estimate the in situ grazing rates of Salpa thompsoni and their implications for the development of phytoplankton blooms and for the sequestration of biogenic carbon in the high Antarctic, a repeat-grid survey and drogue study were carried out in the Lazarev Sea during austral summer of 1994/1995 (December/January). Exceptionally high grazing rates were measured for S. thompsoni at the onset of a phytoplankton bloom (0.2 to 0.8 mu g chlorophyll a l(-1)) in December 1994, with up to similar or equal to 160 mu g of plant pigments consumed by an individual salp of 7 to 10 cm length per day. Dense salp swarms extended throughout the marginal ice zone, consuming up to 108% of daily phytoplankton production and 21% of the total chlorophyll a stock. Due to the much faster sinking rates and higher carbon content of salp faecal pellets, the efficiency of downward carbon flux through salps is much higher than through the other major grazers, krill and copepods. S. thompsoni can thus export large amounts of biogenic carbon from the euphotic zone to the deep ocean. With the observed ingestion rates during December 1994, this flux could have attained levels of up to 88 mg C m(-2) d(-1), accounting for the bulk of the vertical transport of carbon in the Lazarev Sea. However, in January 1995, when phytoplankton concentrations exceeded a threshold level of 1.0 to 1.5 mu g chlorophyll a l(-1), salps experienced a drastic reduction in their feeding efficiency, possibly as a result of clogging of their filtering apparatus. This triggered a dramatic reversal in the relationship, during which a dense phytoplankton bloom developed in conjunction with the collapse of the salp population. Increases in the biomass and geographic range of the tunicate S. thompsoni have occurred in several areas of the southern ocean, often in parallel with a rise in sea-surface temperature during sub-decadal periods of warming anomalies.</t>
  </si>
  <si>
    <t>Univ Durban Westville, Marine Sci Unit, ZA-4000 Durban, South Africa; Rhodes Univ, Dept Zool &amp; Entomol, So Ocean Grp, ZA-6140 Grahamstown, South Africa</t>
  </si>
  <si>
    <t>University of Kwazulu Natal; Rhodes University</t>
  </si>
  <si>
    <t>Perissinotto, R (corresponding author), Univ Durban Westville, Marine Sci Unit, ZA-4000 Durban, South Africa.</t>
  </si>
  <si>
    <t>10.1007/s002270050292</t>
  </si>
  <si>
    <t>WOS:000073613500003</t>
  </si>
  <si>
    <t>Froneman, PW; Pakhomov, EA; Perissinotto, R; Meaton, V</t>
  </si>
  <si>
    <t>Feeding and predation impact of two chaetognath species, Eukrohnia hamata and Sagitta gazellae, in the vicinity of Marion island (southern ocean)</t>
  </si>
  <si>
    <t>PRINCE-EDWARD-ISLANDS; VERTICAL-DISTRIBUTION; ANTARCTIC PENINSULA; GERLACHE STRAIT; MIGRATION; FRIDERICI; PATTERNS; ATLANTIC; ZOOPLANKTON; ARCHIPELAGO</t>
  </si>
  <si>
    <t>The predation impact of the two chaetognaths Eukrohnia hamata and Sagitta gazellae on mesozooplankton standing stock were investigated in three depth layers during two 24 h stations occupied in the vicinity of Marion Island in late austral summer (April/May) 1986. The zooplankton community at both stations was dominated by small copepods (Oithona spp., Microcalanus spp.), which accounted for &gt;95% of total zooplankton abundance. Chaetognaths comprised &lt;2% of total zooplankton abundance. E. hamata constituted &gt;95% of the total chaetognath stock. The general trend in both species was decreasing abundance with increasing depth, which appeared to be correlated to the distribution of copepods (r(2) = 0.45; P &lt;0.05). Gut-content analysis showed that copepods (mainly Oithona spp., Calanus spp. and Rhincalanus gigas) and ostracods were the main prey of both species, accounting for 87 and 61% of the total number of prey in E. hamata and S. gazellae stomachs, respectively. In the guts of S. gazellae, pteropods (Limacina spp.) and chaetognaths were also well represented. The mean number of prey items (NPC) for E. hamata ranged from 0.02 to 0.06 prey individual(-1) which corresponds to an individual feeding rate (Fr) of between 0.05 and 0.12 prey d(-1). For S. gazellae, the NPC values were higher, varying between 0.04 and 0.20 prey individual(-1), or between 0.15 and 0.76 prey d(-1). The daily predation impact of the two chaetognaths was estimated at between 0.3 and 1.2% of the copepod standing stock or between 7 and 16% of the daily copepod production. Predation by S. gazellae on chaetognaths accounted for up to 1.6% of the chaetognath standing stock per day.</t>
  </si>
  <si>
    <t>Rhodes Univ, Dept Zool &amp; Entomol, So Ocean Grp, ZA-6140 Grahamstown, South Africa; Univ Ft Hare, Dept Zool, ZA-5770 Alice, South Africa</t>
  </si>
  <si>
    <t>Rhodes University; University of Fort Hare</t>
  </si>
  <si>
    <t>10.1007/s002270050300</t>
  </si>
  <si>
    <t>WOS:000073613500011</t>
  </si>
  <si>
    <t>Lonsdale, DJ; Hassett, RP; Dobbs, FC; Yen, J</t>
  </si>
  <si>
    <t>Physiological traits associated with a reproductive-resting stage in Coullana canadensis (Copepoda: Harpacticoida)</t>
  </si>
  <si>
    <t>SUB-ANTARCTIC COPEPOD; CALANUS-HELGOLANDICUS; LIPID-STORAGE; CYCLOPOID COPEPODS; NEOCALANUS-TONSUS; DIAPAUSE; ZOOPLANKTON; TEMPERATURE; METABOLISM; DIFFERENTIATION</t>
  </si>
  <si>
    <t>We investigated physiological traits associated with a reproductive-resting stage in adult female harpacticoid copepods, Coullana canadensis (Willey). Our hypothesis was this stage represents a life-history strategy that could increase fitness by improving winter survivorship and future reproductive success in spring. To test if physiological rates are suppressed in this stage, we compared gut-cell morphology, nitrogen excretion rates, enzyme activities, and phytoplankton grazing rates of reproductive-resting and reproductive females reared in the laboratory under high food conditions. Copepods came from laboratory cultures originating from individuals collected in Maine and Maryland, USA in 1990. Reproductive-resting females had lower physiological rates, and the surface area of gut-cells was reduced compared to reproductive females. Distinct morphological differences in the distribution of lipids between reproductive and reproductive-resting females were observed under light and electron microscopy, the latter having a diffuse accumulation of lipid in the area normally occupied by the ovaries. Differences in lipid composition were also found. Reproductive copepods had a significantly higher ratio (%) of polar lipids to total lipid, and a lower proportion of triacylglycerols compared to reproductive-resting copepods. These laboratory findings are consistent with the hypothesis that the reproductive-resting stage in C. canadensis is an adaptive response to increase winter survival.</t>
  </si>
  <si>
    <t>SUNY Stony Brook, Marine Sci Res Ctr, Stony Brook, NY 11794 USA</t>
  </si>
  <si>
    <t>Lonsdale, DJ (corresponding author), SUNY Stony Brook, Marine Sci Res Ctr, Stony Brook, NY 11794 USA.</t>
  </si>
  <si>
    <t>10.1007/s002270050303</t>
  </si>
  <si>
    <t>WOS:000073613500014</t>
  </si>
  <si>
    <t>Delille, D; Basseres, A; Dessommes, A; Rosiers, C</t>
  </si>
  <si>
    <t>Influence of daylight on potential biodegradation of diesel and crude oil in Antarctic seawater</t>
  </si>
  <si>
    <t>MARINE ENVIRONMENTAL RESEARCH</t>
  </si>
  <si>
    <t>UV; crude oil; diesel; bioremediation; Antarctica</t>
  </si>
  <si>
    <t>BACTERIAL-POPULATIONS; ULTRAVIOLET-RADIATION; STARVATION-SURVIVAL; SOLUBLE FRACTION; OZONE DEPLETION; BAHIA-PARAISO; MARINE; HYDROCARBONS; SPILL; OCEAN</t>
  </si>
  <si>
    <t>The effects of daylight exposure on Antarctic coastal bacterial communities contaminated by diesel fuel and 'Arabian light' crude oil addition were studied in artificial mesocosms during the austral summers of 1991-1992, 1992-1993 and 1993-1994 in the Terre Adelie land area. In order to study the possible influence of photo-oxidation, two sets of experiments were conducted in covered and non-covered batches. Daily sampling allowed regular surveys of the changes of total bacterial abundance, mean cell volumes, saprophytic and hydrocarbon-utilizing bacterial communities. The results clearly revealed a significant response of the Antarctic bacterial community to crude oil addition. Two orders of magnitude increases were observed after contamination. Concomitant enrichments of saprophytic and hydrocarbon-utilizing bacteria occurred during these periods. Hydrocarbon-utilizing bacteria ranged from 0.001% of the total community before contamination to more than 80% after 2 weeks of contamination with crude oil. Chemical analysis of the residual hydrocarbon fraction after 5 weeks of contamination confirmed this potential biodegradation. Solar radiation had no measurable effect upon crude oil-contaminated seawater. In contrast, there was a clear toxic effect upon bacterial communities contaminated with diesel. Data suggest that the initial state of the bacterial communities can play a major role in the potential biodegradation. Some surface bacterial assemblages seem to demonstrate a better resistance to solar radiation than deeper ones. (C) 1998 Elsevier Science Ltd. All rights reserved.</t>
  </si>
  <si>
    <t>Univ Pierre &amp; Marie Curie, Observ Oceanol Banyuls, UA 117, Lab Arago, F-66650 Banyuls sur Mer, France; ELF Aquitaine Co, Grp Rech Lacq, Serv Environm, F-64170 Artix, France; Univ Lyon 1, Lyon 1, France</t>
  </si>
  <si>
    <t>Sorbonne Universite; Universite Claude Bernard Lyon 1</t>
  </si>
  <si>
    <t>Delille, D (corresponding author), Univ Pierre &amp; Marie Curie, Observ Oceanol Banyuls, UA 117, Lab Arago, F-66650 Banyuls sur Mer, France.</t>
  </si>
  <si>
    <t>BASSERES, Anne/AAZ-5532-2021; Daniel, Delille/S-9542-2019</t>
  </si>
  <si>
    <t>BASSERES, Anne/0000-0002-9098-1839;</t>
  </si>
  <si>
    <t>0141-1136</t>
  </si>
  <si>
    <t>MAR ENVIRON RES</t>
  </si>
  <si>
    <t>Mar. Environ. Res.</t>
  </si>
  <si>
    <t>10.1016/S0141-1136(97)00129-3</t>
  </si>
  <si>
    <t>Environmental Sciences; Marine &amp; Freshwater Biology; Toxicology</t>
  </si>
  <si>
    <t>Environmental Sciences &amp; Ecology; Marine &amp; Freshwater Biology; Toxicology</t>
  </si>
  <si>
    <t>ZZ883</t>
  </si>
  <si>
    <t>WOS:000074778100004</t>
  </si>
  <si>
    <t>Laturnus, F; Wiencke, C; Adams, FC</t>
  </si>
  <si>
    <t>Influence of light conditions on the release of volatile halocarbons by Antarctic macroalgae</t>
  </si>
  <si>
    <t>Antarctica; macroalgae; volatile halocarbons; methylhalides; light dependence; VHOC</t>
  </si>
  <si>
    <t>KING-GEORGE-ISLAND; OZONE DEPLETION; SOUTH-SHETLAND; METHYL-IODIDE; BROMIDE; GROWTH</t>
  </si>
  <si>
    <t>Four species of red and green Antarctic macroalgae were exposed to various photon fluxes for periods of 6.45 and 17.45 h, respectively, and the release of 12 volatile halogenated compounds from chloromethane to diiodomethane was monitored. The results showed that variation of light conditions has an influence on the formation and release of volatile halocarbons, but no clear light-dependent relationships were found. In general, higher release rates were exhibited at no light or low photon fluxes. The higher release rates observed for the methyl halides at short photoperiods suggest that macroalgae could release halocarbons during conditions corresponding to those in the Antarctic winter and may support a concentration build up of these compound in the environment until spring. Therefore, macroalgae could indirectly contribute to the degradation of the stratospheric ozone layer over Antarctica each year in spring caused by halogens derived from the photochemical destruction of volatile halocarbons. (C) 1998 Elsevier Science Ltd. All rights reserved.</t>
  </si>
  <si>
    <t>Univ Instelling Antwerp, Micro &amp; Trace Anal Ctr, B-2610 Wilrijk, Belgium; Alfred Wegener Inst Polar &amp; Marine Res, D-2850 Bremerhaven, Germany</t>
  </si>
  <si>
    <t>University of Antwerp; Helmholtz Association; Alfred Wegener Institute, Helmholtz Centre for Polar &amp; Marine Research</t>
  </si>
  <si>
    <t>Laturnus, F (corresponding author), Univ Instelling Antwerp, Micro &amp; Trace Anal Ctr, B-2610 Wilrijk, Belgium.</t>
  </si>
  <si>
    <t>10.1016/S0141-1136(98)00025-7</t>
  </si>
  <si>
    <t>WOS:000074778100007</t>
  </si>
  <si>
    <t>Kasten, S; Glasby, GP; Schulz, HD; Friedrich, G; Andreev, SI</t>
  </si>
  <si>
    <t>Rare earth elements in manganese nodules from the South Atlantic Ocean as indicators of oceanic bottom water flow</t>
  </si>
  <si>
    <t>manganese nodules; rare earth elements; ocean bottom waters; South Atlantic Ocean</t>
  </si>
  <si>
    <t>FERROMANGANESE NODULES; NORTH-ATLANTIC; PACIFIC-OCEAN; EQUATORIAL PACIFIC; DEEP-WATER; ARGENTINE BASIN; MINOR ELEMENTS; TRACE-METALS; ANGOLA BASIN; BRAZIL BASIN</t>
  </si>
  <si>
    <t>The mineralogy and geochemistry of a suite of nine manganese nodules from the South Atlantic have been determined. The Ce/La ratios of the nodules were investigated to see if they could be used as redox indicators to trace the oxygen content of the ambient water mass and the flow path of the Antarctic Bottom Water as has previously been successfully carried out in the Pacific Ocean. The Ce/La ratios of the nodules decrease in the sequence Lazarev Sea, Weddell Sea (10.4 and 9.7)&gt;East Georgia Basin (6.5 and 7.1)&gt;Argentine Basin (5.0), but then increase in the Brazil Basin (6.2) and Angola Basin (9.8 and 15.1). A further decrease was observed in the Cape Basin (7.6). An extremely high Ce/La ratio of 24.4 had already been determined for nodules sampled north of the Nares Abyssal Plain in the western North Atlantic. These data reflect the more complicated pattern of bottom water flow in the South Atlantic than in the South Pacific. The penetration of more oxygenated North Atlantic Deep Water into the South Atlantic accounts for the higher Ce/La ratios in the nodules from the Angola and Brazil basins. Based on this study, the flow path of the Antarctic Bottom Water could only be traced as far north as the Argentine Basin. The unique geochemistry of nodules from the central Angola Basin thigh Mn/Fe and Ce/La ratios, high contents of Ni, Cu, Zn and Mo) appears to be a function of the nature of the overlying water mass and of the multiple diagenetic sources of metals to the nodules. (C) 1998 Elsevier Science B.V. All rights reserved.</t>
  </si>
  <si>
    <t>Univ Bremen, Fachbereich Geowissensch, D-28334 Bremen, Germany; RWTH Aachen, Inst Mineral &amp; Lagerstattenlehre, D-52056 Aachen, Germany; VNII Oceanol, St Petersburg 19012, Russia</t>
  </si>
  <si>
    <t>University of Bremen; RWTH Aachen University</t>
  </si>
  <si>
    <t>Kasten, S (corresponding author), Univ Sheffield, Dept Earth Sci, Sheffield S3 7HF, S Yorkshire, England.</t>
  </si>
  <si>
    <t>Kasten, Sabine/0000-0001-7453-5137</t>
  </si>
  <si>
    <t>10.1016/S0025-3227(97)00128-X</t>
  </si>
  <si>
    <t>ZM941</t>
  </si>
  <si>
    <t>WOS:000073591700003</t>
  </si>
  <si>
    <t>Shaughnessy, PD; Erb, E; Green, K</t>
  </si>
  <si>
    <t>Continued increase in the population of Antarctic fur seals, Arctocephalus gazella, at Heard Island, Southern Ocean</t>
  </si>
  <si>
    <t>CSIRO, Div Wildlife &amp; Ecol, Lyneham, ACT 2602, Australia; Australian Antarctic Div, Kingston, Tas 7050, Australia; Natl Parks &amp; Wildlife Serv, PMB Cooma, NSW 2630, Australia</t>
  </si>
  <si>
    <t>Shaughnessy, PD (corresponding author), CSIRO, Div Wildlife &amp; Ecol, POB 84, Lyneham, ACT 2602, Australia.</t>
  </si>
  <si>
    <t>Shaughnessy, Peter/AAG-6689-2021</t>
  </si>
  <si>
    <t>10.1111/j.1748-7692.1998.tb00731.x</t>
  </si>
  <si>
    <t>ZG014</t>
  </si>
  <si>
    <t>WOS:000072956100021</t>
  </si>
  <si>
    <t>Bohaty, SM; Harwood, DM</t>
  </si>
  <si>
    <t>Southern Ocean Pliocene paleotemperature variation from high-resolution silicoflagellate biostratigraphy</t>
  </si>
  <si>
    <t>Southern Ocean; biogeography; paleotemperature; Kergulen Plateau; silicoflagellates; Pliocene</t>
  </si>
  <si>
    <t>ANTARCTIC ICE-SHEET; ATLANTIC COASTAL-PLAIN; SEA DRILLING PROJECT; MIDDLE PLIOCENE; DIATOM ASSEMBLAGES; EAST ANTARCTICA; GLACIAL HISTORY; SEDIMENTS; RECORD; PACIFIC</t>
  </si>
  <si>
    <t>Applying the modem biogeographic distribution of silicoflagellate genera Dictyocha and Distephanus and calcareous nannoplankton as an analog, the biostratigraphic record of these phytoplankton can be used qualitatively to examine past changes in surface temperature in the Southern Ocean. The Antarctic Polar Frontal Zone (PFZ) is a major biogeographic barrier, limiting Dictyocha and calcareous nannoplankton to areas north of this zone. Ocean Drilling Project (ODP) holes 748B and 751A on the southern Kerguelen Plateau, 900 km south of the present location of the PFZ, contain expanded Pliocene sections through four time intervals: similar to 4.5 to 4.2 Ma (Hole 751A), similar to 3.7 to 3.1 Ma (Hole 748B), similar to 3.6 to 3.5 Ma (Hole 751A), and similar to 3.2 to 3.0 Ma (Hole 751A). Three distinct peaks in Dictyocha and calcareous nannofossil abundance reflect surface-water warming of at least 4 degrees C through either southward migration of the PFZ or a weakening of the thermal gradient across this zone. Peak warming in the intervals studied is centered near similar to 4.3 Ma, with other brief, yet significant, warming events near similar to 4.5, similar to 4.2, and similar to 3.6 Ma. Cooling as a result of northward migration of the PFZ, or intensified thermal gradient, is indicated by the absence of Dictyocha and calcareous nannofossils in other stratigraphic intervals. These data support previous studies indicating Pliocene oceanic and climatic variability in the southern high latitudes. Silicoflagellate abundance patterns from Hole 751A identify taxonomic relationships between several morphotypes. The simultaneous appearance and proportional occurrence of five-sided and four-sided Dictyocha specimens suggests a close relationship between these two forms. Distephanus crux s.l. and Dictyocha aspera var. pygmaea also show a near mutually exclusive abundance pattern in Hole 751A and are similar in basal ring size and morphology, indicating they are conspecific. They differ only in apical structure, whereby Distephanus crux s.l. may have formed an apical bar under fluctuating environmental conditions in the Early Pliocene. These variations in silicoflagellate architecture appear to be related to paleoenvironmental changes indicating that silicoflagellate morphology may represent a more useful paleoceanographic tool that has been noted previously. (C) 1998 Elsevier Science B.V. All rights reserved.</t>
  </si>
  <si>
    <t>Univ Nebraska, Dept Geol, Lincoln, NE 68588 USA</t>
  </si>
  <si>
    <t>University of Nebraska System; University of Nebraska Lincoln</t>
  </si>
  <si>
    <t>Univ Nebraska, Dept Geol, Lincoln, NE 68588 USA.</t>
  </si>
  <si>
    <t>sbohaty@unlgrad1.unl.edu</t>
  </si>
  <si>
    <t>10.1016/S0377-8398(97)00037-6</t>
  </si>
  <si>
    <t>ZE806</t>
  </si>
  <si>
    <t>WOS:000072832800005</t>
  </si>
  <si>
    <t>Cordonnery, L</t>
  </si>
  <si>
    <t>Environmental Protection in Antarctica: Drawing lessons from the CCAMLR model for the implementation of the Madrid Protocol</t>
  </si>
  <si>
    <t>Antarctica; Committee for Environmental Protection; Convention on the Conservation of Antarctic Marine Living Resources; Geographic Information Systems; Protocol on Environmental Protection to the Antarctic Treaty</t>
  </si>
  <si>
    <t>The aims of this article are, first, to analyze the institutional and implementation issues of the 1980 Convention on the Conservation of Antarctic Marine Living Resources (CCAMLR); and, second, to analyze CCAMLR as a precedent within the Antarctic Treaty System and to draw lessons from the CCAMLR model for the implementation of the 1991 Protocol on Environmental Protection to the Antarctic Treaty (the Madrid Protocol). A comparative analysis of the two regimes suggests the need for the institutional development of the Committee for Environmental Protection created by the Madrid Protocol and considers the relevance of using Geographic Information Systems (GIS) as a decision-support tool in this context.</t>
  </si>
  <si>
    <t>Univ Tasmania, Sch Law, Hobart, Tas 7001, Australia</t>
  </si>
  <si>
    <t>Cordonnery, L (corresponding author), Univ Tasmania, Sch Law, GPO Box 252C, Hobart, Tas 7001, Australia.</t>
  </si>
  <si>
    <t>APR-JUN</t>
  </si>
  <si>
    <t>10.1080/00908329809546120</t>
  </si>
  <si>
    <t>ZT212</t>
  </si>
  <si>
    <t>WOS:000074060900002</t>
  </si>
  <si>
    <t>Broecker, WS</t>
  </si>
  <si>
    <t>Paleocean circulation during the last deglaciation: A bipolar seesaw?</t>
  </si>
  <si>
    <t>RADIOCARBON; AGE</t>
  </si>
  <si>
    <t>Hughen et al. [1998] have documented that during the first 200 years of Younger Dryas time the C-14 content of atmospheric CO2 increased by similar to 50 parts per thousand and that during the remainder of this 1200-year-duration cold event it steadily declined. The initial increase in C-14/C was likely the result of a reduction in the Atlantic's conveyor circulation. However, were the subsequent radiocarbon decline due to the rejuvenation of this potent heat pump, then it is difficult to understand why the climate conditions in the northern Atlantic basin remained cold throughout the Younger Dryas. Modeling exercises by Stocker and Wright [1996], Mikolajewicz [1998], and Schiller et al. [1998] show that if the conveyor is terminated, the transfer of radiocarbon into the deep sea shifts to the Southern Ocean, thereby stabilizing the atmospheric C-14/C ratio. Paleoclimatic evidence from the Antarctic continent suggests that this model-based scenario might have been played out in the real world. While the Younger Dryas cooling has been documented in many places around the world, including New Zealand [Denton and Hendy, 1994], Sowers and Bender [1995], using their O-18 in O-2-based correlation between the ice core O-18 in ice records for Antarctica and Greenland, have demonstrated that in Antarctica the Younger Dryas was a time of maximum warming. The point of this paper is that the steep rise in O-18 rise in Antarctic ice which commenced close to the onset of the Younger Dryas might have been caused by heat released to the atmosphere in response to an increase in deep-sea ventilation in the Southern Ocean.</t>
  </si>
  <si>
    <t>Broecker, WS (corresponding author), Columbia Univ, Lamont Doherty Earth Observ, Palisades, NY 10964 USA.</t>
  </si>
  <si>
    <t>10.1029/97PA03707</t>
  </si>
  <si>
    <t>ZF512</t>
  </si>
  <si>
    <t>WOS:000072904900001</t>
  </si>
  <si>
    <t>Gao, J; Lythe, MB</t>
  </si>
  <si>
    <t>Effectiveness of the MCC method in detecting oceanic circulation patterns at a local scale from sequential AVHRR images</t>
  </si>
  <si>
    <t>PHOTOGRAMMETRIC ENGINEERING AND REMOTE SENSING</t>
  </si>
  <si>
    <t>NEAR-SURFACE VELOCITY; SATELLITE DATA</t>
  </si>
  <si>
    <t>The maximum cross-correlation coefficient (MCC) method is a recently devised automatic approach for detecting translational motions from remotely sensed data, and has been commonly used to estimate motion velocities. This paper aims to evaluate the effectiveness of this method in detecting oceanic circulation patterns on a local scale from sequential AVHRR images. It is found that the MCC-derived results from one image pair are indicative of the general flows only. Incoherent flows caused by non-translational motions result in the detected circulation pattern being in loose agreement with the cruising-observed circulation pattern (COCP). Averaging of the directions detected from multiple image pairs slightly improves this agreement. The main factors constraining the performance of the MCC method are identified as rotational and strained motions, isothermal fields, and non-advective processes. Their impact is drastically minimized if the detected results are tested at a significance level of 90 percent or higher. Their elimination from the flow fields causes the retained directions to be more uniform. The larger the number of images used in a detection, the closer the correlation of the detected results with the COCP, especially at a higher significance level. The flow field averaged from three pairs and tested at the 99 percent significance level is most closely correlated with the COCP at a coefficient of 0.728 that is underestimated by 8 percent due to the quality of the COCP.</t>
  </si>
  <si>
    <t>Univ Auckland, Dept Geog, Auckland 1, New Zealand; Int Ctr Antarctic Informat &amp; Res, Christchurch, New Zealand</t>
  </si>
  <si>
    <t>University of Auckland</t>
  </si>
  <si>
    <t>Gao, J (corresponding author), Univ Auckland, Dept Geog, Private Bag 92019, Auckland 1, New Zealand.</t>
  </si>
  <si>
    <t>jg.gao@auckland.ac.nz</t>
  </si>
  <si>
    <t>AMER SOC PHOTOGRAMMETRY</t>
  </si>
  <si>
    <t>5410 GROSVENOR LANE SUITE 210, BETHESDA, MD 20814-2160 USA</t>
  </si>
  <si>
    <t>0099-1112</t>
  </si>
  <si>
    <t>PHOTOGRAMM ENG REM S</t>
  </si>
  <si>
    <t>Photogramm. Eng. Remote Sens.</t>
  </si>
  <si>
    <t>ZH362</t>
  </si>
  <si>
    <t>WOS:000073100900010</t>
  </si>
  <si>
    <t>El-Borie, MA; Duldig, ML; Humble, JE</t>
  </si>
  <si>
    <t>Galactic cosmic ray modulation and the passage of the heliospheric current sheet at Earth</t>
  </si>
  <si>
    <t>PLANETARY AND SPACE SCIENCE</t>
  </si>
  <si>
    <t>SOLAR MODULATION; INTENSITY VARIATIONS; SECTOR STRUCTURE; GRADIENTS; LATITUDE; STREAMS; ONSET; CYCLE</t>
  </si>
  <si>
    <t>We have examined the effect of heliospheric current sheet (HCS) crossings on cosmic ray intensity (CRI), solar wind speed, interplanetary magnetic field (IMF) and the cosmic ray solar diurnal anisotropy in free space. Data from eight neutron monitors and three muon telescopes, covering a wide energy and latitude range, were separated into two epochs, 1971-1979 (A &gt; 0) and 1981-1990 (A &lt; 0) according to the solar magnetic polarity. The CRI is more strongly affected during the A &gt; 0 than during the A &lt; 0 epoch. The increase in CRI associated with A-T HSC crossings was larger in magnitude than that of T-A crossings, and the magnitude was dependent on the rigidity of the particles. A Symmetric negative cosmic ray gradient was observed with respect to the HCS. HCS crossings have no observable effect on the CRI observed by shallow underground detectors. Changes in solar wind speed and IMF magnitude, near HCS crossings, are related to the distance of the Earth from the sheet. We found no consistent changes in the solar diurnal variation related to HCS crossings. (C) 1998 Elsevier Science Ltd. All rights reserved.</t>
  </si>
  <si>
    <t>Univ Tasmania, Dept Phys, Hobart, Tas 7001, Australia; Univ Tasmania, Cosm Ray Sect, Australian Antarctic Div, Dept Phys, Hobart, Tas 7001, Australia; Univ Alexandria, Fac Sci, Dept Phys, Alexandria, Egypt</t>
  </si>
  <si>
    <t>University of Tasmania; University of Tasmania; Australian Antarctic Division; Egyptian Knowledge Bank (EKB); Alexandria University</t>
  </si>
  <si>
    <t>El-Borie, MA (corresponding author), Univ Tasmania, Dept Phys, GPO Box 252-2-1, Hobart, Tas 7001, Australia.</t>
  </si>
  <si>
    <t>Humble, John/0000-0002-4698-1671; El-Borie, M.A./0000-0002-5491-0726; Duldig, Marcus/0000-0001-7463-8267</t>
  </si>
  <si>
    <t>0032-0633</t>
  </si>
  <si>
    <t>PLANET SPACE SCI</t>
  </si>
  <si>
    <t>Planet Space Sci.</t>
  </si>
  <si>
    <t>10.1016/S0032-0633(97)00202-X</t>
  </si>
  <si>
    <t>ZQ708</t>
  </si>
  <si>
    <t>WOS:000073895100012</t>
  </si>
  <si>
    <t>Gonzalez, AF; Rodhouse, PG</t>
  </si>
  <si>
    <t>Fishery biology of the seven star flying squid Martialia hyadesi at South Georgia during winter</t>
  </si>
  <si>
    <t>ANTARCTIC POLAR FRONT; CEPHALOPOD PREY; PATAGONIAN SHELF; OMMASTREPHIDAE; TEUTHOIDEA; OCEAN</t>
  </si>
  <si>
    <t>A scientific research fishing expedition targeting the oceanic/slope ommastrephid squid Martialia hyadesi was undertaken by a Korean-registered squid jigger in CCAMLR area 48.3, near South Georgia, in June 1996, providing the first opportunity to collect data on the fishery biology of this species during the austral winter. Fishing took place over a period of 8 days; a series of eight drifts was undertaken along an approximately east/west transect of about 200 nautical miles to the north and west of South Georgia, over depths ranging from 1,700 to 2,713 m. All fishing was to the south of the Antarctic Polar Front. Data were collected on sea surface temperature, catch per unit of effort, size, sex, maturity status and stomach contents of the catch and a sample of squid was aged by counting putative, daily microgrowth increments in the sectioned statolith. All squid were caught by jigs operating at depths from 80 to 100 m to the surface. Catch per unit of effort per drift varied between 1.0 and 21.9 kg min(-1) and there was no by-catch. Greatest numbers of squid were caught at dusk and dawn. Mantle length fell in the range 220-350 mm (males) and 212-370 mm (females). Most males were sexually mature (Lipinski's stages IV-V) and most females were immature (stage II). The absence of mature females suggests that no spawning takes place in this area during the austral winter. The squid were up to year of age and had hatched during the previous winter. They were apparently from the same cohort as had been sampled at the Antarctic Polar Front in February 1996. Myctophids were the major prey in the stomach contents and the squid Gonatus antarcticus was also important; crustaceans were relatively unimportant. The results suggest that concentrations of Martialia hyadesi are present in the vicinity of South Georgia, south of the Antarctic Polar Front, during the austral winter. The squid are actively feeding during the austral winter and are susceptible to jigging gear.</t>
  </si>
  <si>
    <t>Rodhouse, PG (corresponding author), British Antarctic Survey, NERC, High Cross, Cambridge CB3 0ET, England.</t>
  </si>
  <si>
    <t>10.1007/s003000050239</t>
  </si>
  <si>
    <t>ZF509</t>
  </si>
  <si>
    <t>WOS:000072904600002</t>
  </si>
  <si>
    <t>Delille, D; Basseres, A; Dessommes, A</t>
  </si>
  <si>
    <t>Effectiveness of bioremediation for oil-polluted Antarctic seawater</t>
  </si>
  <si>
    <t>ICE MICROBIAL COMMUNITIES; SEA-ICE; WEDDELL SEA; CRUDE-OIL; BACTERIAL-POPULATIONS; ENVIRONMENTAL ASPECTS; MCMURDO-SOUND; BAHIA-PARAISO; MARINE; HYDROCARBONS</t>
  </si>
  <si>
    <t>The effectiveness of a specific fertiliser (INIPOL EAP 22) addition on bioremediation of oil-contaminated Antarctic coastal seawater was determined in the Terre Adelie area. Mesocosm studies were conducted to evaluate the effects of Arabian light crude oil contamination on coastal bacterioplanktonic communities. After oil addition, regular surveys of the bacterial changes of the oil-contaminated seawater were performed during 5-week periods during the austral summer of 1992/1993 and 1993/1994. All results (total, saprophytic and hydrocarbon-utilising bacterial abundance) clearly revealed a significant response of Antarctic bacterial communities to hydrocarbon contamination. A 1 order of magnitude increase of bacterial microflora occurred in seawater after crude oil contamination. A concomitant enrichment in oil-degrading bacteria was generally observed, from less than 0.001% of the community in uncontaminated samples to up to 50% after 3 weeks of contamination. Addition of fertiliser (INIPOL EAP 22) induced clear enhancement of both saprophytic and hydrocarbon-utilising microflora. Chemical analysis of the residual hydrocarbon fractions confirmed that fertiliser application increased the rate of oil biodegradation.</t>
  </si>
  <si>
    <t>Univ Paris 06, Observ Oceanol Banyuls, UA 117, Lab Arago, F-66650 Banyuls sur Mer, France; ELF Aquitaine Co, GRL, Environm Serv, F-64170 Artix, France</t>
  </si>
  <si>
    <t>Delille, D (corresponding author), Univ Paris 06, Observ Oceanol Banyuls, UA 117, Lab Arago, F-66650 Banyuls sur Mer, France.</t>
  </si>
  <si>
    <t>Daniel, Delille/S-9542-2019; BASSERES, Anne/AAZ-5532-2021</t>
  </si>
  <si>
    <t>BASSERES, Anne/0000-0002-9098-1839</t>
  </si>
  <si>
    <t>10.1007/s003000050240</t>
  </si>
  <si>
    <t>WOS:000072904600003</t>
  </si>
  <si>
    <t>Trophic importance of the chaetognaths Eukrohnia hamata and Sagitta gazellae in the pelagic system of the Prince Edward Islands (Southern Ocean)</t>
  </si>
  <si>
    <t>POPULATION-STRUCTURE; ARCHIPELAGO; ZOOPLANKTON; ANTARCTICA; PATTERNS; GEORGIA; CARBON; AFRICA; SUMMER</t>
  </si>
  <si>
    <t>Trophodynamics and predation impact of the 2 dominant chaetognaths Eukrohnia hamata and Sagitta gazellae were investigated at 19 stations in the vicinity of the Prince Edward Islands and at a 24-h station occupied at the sub-Antarctic Front in late summer (April/May) 1996. During the entire investigation, the zooplankton assemblages were numerically dominated by copepods with densities ranging from 21 to 170 ind. m(-3) Amongst the copepods, Clausocalanus brevipes, Metridia gerlachei and M. lucens dominated accounting for &gt;90% of the total. Generally, chaetognaths were identified as the second most important group composing at times up to 30% (mean = 14.7%) of total zooplankton abundance. Of the two chaetognath species. E. hamata was generally numerically dominant. Gut content analysis showed that both chaetognath species are opportunistic predators generally feeding on the most abundant prey, copepods. No feeding patterns were evident during the 24-h station, suggesting that both species feed continuously. The feeding rates of E. hamata ranged from 0 to 0.50 prey ind. day(-1) and between 0 and 0.90 prey ind. day(-1) for S. gazellae. The maximum total predation impact of E. hamata was equivalent to 5.2% of the copepod standing stock or up to 103% of copepod production per day. For S, gazellae the predation impact was lower, reaching a level of 3.2% of the copepod standing stock or 63% of the daily copepod production. Chaetognaths can, therefore, be regarded as an important pelagic predator of the Prince Edward Islands subsystem.</t>
  </si>
  <si>
    <t>zopf@warthog.ru.ac.za</t>
  </si>
  <si>
    <t>Froneman, William/GLS-0460-2022; Froneman, William/C-9085-2012</t>
  </si>
  <si>
    <t>Froneman, William/0000-0003-0615-1355;</t>
  </si>
  <si>
    <t>10.1007/s003000050241</t>
  </si>
  <si>
    <t>WOS:000072904600004</t>
  </si>
  <si>
    <t>Montiel, PO</t>
  </si>
  <si>
    <t>Profiles of soluble carbohydrates and their adaptive role in maritime Antarctic terrestrial arthropods</t>
  </si>
  <si>
    <t>COLD-HARDINESS; SIGNY ISLAND; CRYPTOPYGUS-ANTARCTICUS; ALASKOZETES-ANTARCTICUS; SOUTH GEORGIA; TOLERANCE; SURVIVAL; DIPTERA; INSECT; MITE</t>
  </si>
  <si>
    <t>The existence of seasonal changes in concentrations of water-soluble carbohydrates in arthropods (both freezing-tolerant and intolerant species) from Signy Island was demonstrated. Seasonal patterns of variation, imposed by seasonality of the maritime Antarctic environment, in the production of soluble carbohydrates in response to low temperatures and/or dehydration for a range of terrestrial arthropods were confirmed. The freshwater copepod Pseudoboeckella poppei exhibited much lower levels of soluble carbohydrates, with glycerol as the main component, and smaller seasonal fluctuations relative to the four terrestrial species. The two Antarctic mites (Alaskozetes antarcticus and Gamasellus racovitzai) accumulated glycerol (as a single-component cryoprotective system), in agreement with previous work reporting increased glycerol levels and lowering of the supercooling point in A. antarcticus. In the case of G. racovitzai, increased levels of glycerol may function in a different manner. The larval dipteran Eretmoptera murphyi and the collembolan Cryptopygus antarcticus have complex multi-component cryoprotective systems involving trehalose that may be related to low temperature acclimation and dehydration. These findings are discussed in relation to published work on single and multiple cryoprotective systems, supercooling points and the involvement of dehydration as a complementary stress in overwintering insects.</t>
  </si>
  <si>
    <t>Montiel, PO (corresponding author), British Antarctic Survey, NERC, High Cross,Madingley Rd, Cambridge CB3 0ET, England.</t>
  </si>
  <si>
    <t>p.montiel@bas.ac.uk</t>
  </si>
  <si>
    <t>10.1007/s003000050242</t>
  </si>
  <si>
    <t>WOS:000072904600005</t>
  </si>
  <si>
    <t>Bustamante, P; Cherel, Y; Caurant, F; Miramand, P</t>
  </si>
  <si>
    <t>Cadmium, copper and zinc in octopuses from Kerguelen Islands, Southern Indian Ocean</t>
  </si>
  <si>
    <t>HEAVY-METAL CONCENTRATIONS; SQUID NOTOTODARUS-GOULDI; ANTARCTIC MARION ISLAND; SEPIA-OFFICINALIS; ELEDONE-CIRRHOSA; BRANCHIAL HEARTS; DIGESTIVE GLAND; TRACE-METALS; CEPHALOPODS; VULGARIS</t>
  </si>
  <si>
    <t>Concentrations of cadmium, copper and zinc were measured in 34 octopuses over a large range of size and weight, caught in the Kerguelen shelf waters. Compared with levels normally encountered in European cephalopods, Cd concentrations in both species were very high: 30.7-47.1 and 27.3-54.4 mu g/g dry weight in Glaneledone sp. and Benthoctopus thielei, respectively; Cu concentrations were generally low while Zn concentrations exhibited similar levels. Distribution of Cd in tissues showed that the high levels of Cd in Kerguelen octopuses resulted from very high levels of the metal in the digestive gland (369 and 215 mu g/g dry wt in Graneledone sp. and Benthoctopus thielei, respectively). The digestive gland accumulated about 90% of the total Cd in the whole animal. Due to the very high concentrations of Cd in the Kerguelen octopuses, we hypothesize that these species play an important role in the process of Cd transfer throughout the food chain to top vertebrate predators in this area.</t>
  </si>
  <si>
    <t>Univ la Rochelle, Lab Biol &amp; Biochim Marines, EA 1220, F-17026 La Rochelle, France; CNRS, UPR 4701, Ctr Etud Biol de Chize, F-79360 Villiers En Bois, France</t>
  </si>
  <si>
    <t>La Rochelle Universite; Centre National de la Recherche Scientifique (CNRS)</t>
  </si>
  <si>
    <t>Bustamante, P (corresponding author), Univ la Rochelle, Lab Biol &amp; Biochim Marines, EA 1220, Rue de Vaux de Foletier, F-17026 La Rochelle, France.</t>
  </si>
  <si>
    <t>Bustamante, Paco/G-5833-2011</t>
  </si>
  <si>
    <t>Bustamante, Paco/0000-0003-3877-9390</t>
  </si>
  <si>
    <t>10.1007/s003000050244</t>
  </si>
  <si>
    <t>WOS:000072904600007</t>
  </si>
  <si>
    <t>Casaux, R</t>
  </si>
  <si>
    <t>The contrasting diet of Harpagifer antarcticus (Notothenioidei, Harpagiferidae) at two localities of the South Shetland Islands, Antarctica</t>
  </si>
  <si>
    <t>DIVING DEPTHS; POTTER COVE; NYBELIN; ECOLOGY; FISH</t>
  </si>
  <si>
    <t>The diet of Harpagifer antarcticus was studied at two localities of the South Shetland Islands, Antarctica. The analysis of the stomach contents of specimens collected in tide pools at Potter Cove, King George Island, indicated that gammarid amphipods (mainly Gondogeneia sp.) were the main prey of this fish, followed by polychaetes, gastropods and isopods. By contrast, the specimens from Harmony Point, Nelson Island, which were recovered from stomach contents of Antarctic shags Phalacrocorax bransfieldensis feeding at depths of 46-110 m, preyed almost exclusively on the Antarctic krill Euphausia superba. These results are discussed and compared with previous studies.</t>
  </si>
  <si>
    <t>10.1007/s003000050246</t>
  </si>
  <si>
    <t>WOS:000072904600009</t>
  </si>
  <si>
    <t>Ferrario, ME; Sar, EA; Vernet, M</t>
  </si>
  <si>
    <t>Chaetoceros resting spores in the Gerlache Strait, Antarctic Peninsula</t>
  </si>
  <si>
    <t>The formation of resting spores in diatoms is a common phenomenon in neritic environments, Here we report on resting spores of the genus Chaetoceros associated with a layer of increased chlorophyll fluorescence, at a depth of more than 200 m, north of Brabant Island and in Wilhelmina Bay, southeast coast of the Gerlache Strait (64 degrees 41.0'S, 62 degrees 0.5'W). Six species of Chaetoceros were identified by the morphology and size of the resting spores. Given that Chaetoceros spp., both in vegetative cells and as resting sports, are commonly found in Antarctic coastal surface waters, their location at depth could represent the pelagic waiting or seeding populations mentioned for other environments.</t>
  </si>
  <si>
    <t>Univ Calif San Diego, Scripps Inst Oceanog, Div Marine Res, La Jolla, CA 92093 USA; Natl Univ La Plata, Fac Ciencias Nat &amp; Museo, Dept Cient Ficol, RA-1900 La Plata, Argentina</t>
  </si>
  <si>
    <t>University of California System; University of California San Diego; Scripps Institution of Oceanography; National University of La Plata; Museo La Plata</t>
  </si>
  <si>
    <t>Vernet, M (corresponding author), Univ Calif San Diego, Scripps Inst Oceanog, Div Marine Res, La Jolla, CA 92093 USA.</t>
  </si>
  <si>
    <t>Sar, Eugenia/AAU-7428-2020</t>
  </si>
  <si>
    <t>Sar, Eugenia/0000-0003-2912-4528</t>
  </si>
  <si>
    <t>10.1007/s003000050247</t>
  </si>
  <si>
    <t>WOS:000072904600010</t>
  </si>
  <si>
    <t>Pakhomov, EA</t>
  </si>
  <si>
    <t>Feeding plasticity of the Antarctic fish Trematomus hansoni Boulenger, 1902 (Pisces: Nototheniidae):: the influence of fishery waste on the diet</t>
  </si>
  <si>
    <t>MCMURDO-SOUND</t>
  </si>
  <si>
    <t>The consumption of fishery waste by the Antarctic bottom-dwelling fish, Trematomus hansoni, is described in the Cosmonaut Sea. The study indicates that T. hansoni is able to switch its feeding habits at the time of fishery operations by incorporating fishery waste into the diet.</t>
  </si>
  <si>
    <t>Pakhomov, EA (corresponding author), Rhodes Univ, Dept Zool &amp; Entomol, So Ocean Grp, POB 94, ZA-6140 Grahamstown, South Africa.</t>
  </si>
  <si>
    <t>10.1007/s003000050248</t>
  </si>
  <si>
    <t>WOS:000072904600011</t>
  </si>
  <si>
    <t>Cai, WJ</t>
  </si>
  <si>
    <t>Zonal extent of oceans, high-latitude fresh water supplies and the thermohaline circulation</t>
  </si>
  <si>
    <t>basin width; fresh water supplies; North Atlantic; North Pacific; ocean general circulation model</t>
  </si>
  <si>
    <t>MULTIPLE EQUILIBRIA; NORTH-ATLANTIC; MODEL; DRIVEN; FLUX; VARIABILITY; STABILITY; PACIFIC</t>
  </si>
  <si>
    <t>One of the most distinctive features of the present-day global thermohaline circulation is the absence in the North Pacific Ocean, and the presence in the North Atlantic Ocean, of deep-water formation. In this paper, the different zonal extents and the associated high-latitude fresh water supplies of the Pacific and the Atlantic when under a zonally uniform fresh water flux forcing are examined, as a possible cause for the asymmetry. A series of numerical experiments using the Bryan-Cox-Semtner ocean general circulation model is performed. In order to achieve a true independence, the model configuration and the model forcing are so constructed that zonal extent is the only built-in difference between the two oceans. Three configurations are used. They are (a) an idealized Atlantic Ocean (narrow zonal extent) alone, (b) an idealized Pacific Ocean (wider zonal extent) alone, and (c) a connected Pacific-Atlantic system. Upon spin-up, the model ocean is forced by a zonally uniform Schopf boundary-condition for temperature and a zonally uniform fresh water flux for salinity Both forcings are diagnosed from a spin-up. All diagnosed fresh water fluxes have net precipitation in polar regions and net evaporation in low-latitude regions as observed. This feature means that the high-latitude model Pacific is subject to a fresh water flux twice that in the high-latitude model Atlantic. This causes the northern sinking cell in the model Pacific of the spin-up state to collapse; a southern sinking cell settles in. The process is similar to that in many model studies examining the response of the thermohaline circulation to a high-latitude freshening. By contrast, the northern sinking cell in the North Atlantic of the spin-up state persists. In the connected Pacific-Atlantic system, these produce the 'conveyor belt' type circulation, and the asymmetry between the North Atlantic and the North Pacific. It is found that the high-latitude fresh water supply is the crucial parameter, and that the difference in basin width is not directly important. It is also found that the connection by the Antarctic Circumpolar Current is not important. A large number of experiments is performed in the model Pacific-Atlantic system to test the sensitivity to initial conditions. The system shows a dear tendency to favour the conveyor-belt circulation, although the strength of the North Atlantic northern sinking cell shows considerable variations. Thus, although in nature there are many factors that can contribute to the asymmetry, the difference in total available fresh water at the northern high latitudes between the two oceans as a result of the width difference may have played a significant role.</t>
  </si>
  <si>
    <t>cai, wenju/C-2864-2012</t>
  </si>
  <si>
    <t>cai, wenju/0000-0001-6520-0829</t>
  </si>
  <si>
    <t>ZK822</t>
  </si>
  <si>
    <t>WOS:000073367200007</t>
  </si>
  <si>
    <t>Fenice, M; Selbmann, L; Di Giambattista, R; Federici, F</t>
  </si>
  <si>
    <t>Chitinolytic activity at low temperature of an Antarctic strain (A3) of Verticillium lecanii</t>
  </si>
  <si>
    <t>RESEARCH IN MICROBIOLOGY</t>
  </si>
  <si>
    <t>chitin; Verticillium lecanii; Trichoderma harzianum; low temperature; chitinolytic activity; antifungal action</t>
  </si>
  <si>
    <t>TRICHODERMA-HARZIANUM; GLIOCLADIUM-VIRENS; BIOLOGICAL-CONTROL; FUNGI; CHITINASES; ENZYMES</t>
  </si>
  <si>
    <t>The chitinolytic activity of Verticillium cfr. lecanii A3, a strain isolated from continental Antarctica, was compared to those of two selected strains of Trichoderma harzianum. After 72 h of incubation at 25 degrees C in media containing chitin as the sole carbon source, all strains showed the same enzyme activity (ca. 230 mU/ml); at 15 degrees C, the levels of enzyme activity of the three strains were similar to those obtained at 25 degrees C. At 5 degrees C, in contrast, the activity of V. lecanii was ca. 4 times higher than those of both strains of T. harzianum (203 and 57 mU/ml, respectively; incubation time 144 h). The chitinase of V. lecanii, purified by preparative isoelectric focusing and ion-exchange chromatography, was shown to be a glycoprotein with apparent molecular weight of 45 kDa and isoelectric point of 4.9. The enzyme was active over a broad range of temperatures (5-60 degrees C): at 5 degrees C, its relative activity was still 50% of that recorded at 40 degrees C (optimal temperature). V. lecanii and its purified chitinase showed clear inhibitory effects on-the growth of some test moulds such as Mucor plumbeus, Cladosporium cladosporioides, Aspergillus versicolor and Penicillium verrucosum: observations under the light and scanning electron microscopes revealed that growth inhibition was accompanied by mycelial damage and cell lysis.</t>
  </si>
  <si>
    <t>Univ Tuscia, Dipartimento Agrobiol &amp; Agrochim, I-01100 Viterbo, Italy</t>
  </si>
  <si>
    <t>Tuscia University</t>
  </si>
  <si>
    <t>Federici, F (corresponding author), Univ Tuscia, Dipartimento Agrobiol &amp; Agrochim, Via S Camillo de Lellis, I-01100 Viterbo, Italy.</t>
  </si>
  <si>
    <t>Selbmann, Laura/L-3056-2013; Fenice, Massimiliano/L-9195-2014</t>
  </si>
  <si>
    <t>Selbmann, Laura/0000-0002-8967-3329; Fenice, Massimiliano/0000-0001-8504-0885</t>
  </si>
  <si>
    <t>0923-2508</t>
  </si>
  <si>
    <t>RES MICROBIOL</t>
  </si>
  <si>
    <t>Res. Microbiol.</t>
  </si>
  <si>
    <t>10.1016/S0923-2508(98)80304-5</t>
  </si>
  <si>
    <t>ZR505</t>
  </si>
  <si>
    <t>WOS:000073984300006</t>
  </si>
  <si>
    <t>Hughes, MG; Harris, PT; Hubble, TCT</t>
  </si>
  <si>
    <t>Dynamics of the turbidity maximum zone in a micro-tidal estuary: Hawkesbury River, Australia</t>
  </si>
  <si>
    <t>SEDIMENTOLOGY</t>
  </si>
  <si>
    <t>MACROTIDAL ESTUARY; SUSPENDED MATTER; TAMAR ESTUARY; SEDIMENT; TRANSPORT; REGION; BAY</t>
  </si>
  <si>
    <t>Bed sediment, velocity and turbidity data are presented from a large (145 km long), generally well-mixed, micro-tidal estuary in south-eastern Australia. The percentage of mud in the bed sediments reaches a maximum in a relatively narrow zone centred approximate to 30-40 km from the estuary mouth. Regular tidal resuspension of these bed sediments produces a turbidity maximum (TM) zone in the same location. The maximum recorded depth-averaged turbidity was 90 FTU and the maximum near-bed turbidity was 228 FTU. These values correspond to suspended particulate matter (SPM) concentrations of roughly 86 and 219 mg l(-1), respectively. Neither of the two existing theories that describe the development and location of the TM zone in the extensively studied meso-and macro-tidal estuaries of northern Europe (namely, gravitational circulation and tidal asymmetry) provide a complete explanation for the location of the TM zone in the Hawkesbury River. Two important factors distinguish the Hawkesbury from these other estuaries: (1) the fresh water discharge rate and supply of sediment to the estuary head is very low for most of the time, and (2) suspension concentrations derived from tidal stirring of the bed sediments are comparatively low. The first factor means that sediment delivery to the estuary is largely restricted to short-lived, large-magnitude, fluvial flood events. During these events the estuary becomes partially mixed and it is hypothesized that the resulting gravitational circulation focuses mud deposition at the flood-determined salt intrusion limit (some 35 km seaward of the typical salt intrusion limit). The second factor means that easily entrained high concentration suspensions (or fluid muds), typical of meso-and macro-tidal estuaries, are absent. Maintenance of the TM zone during low-flow periods is due to an erosion-lag process, together with a local divergence in tidal velocity residuals, which prevent the TM zone from becoming diffused along the estuary axis.</t>
  </si>
  <si>
    <t>Univ Sydney, Dept Geol &amp; Geophys FO5, Sydney, NSW 2006, Australia; Univ Tasmania, Antarctic CRC, Australian Geol Survey Org, Hobart, Tas 7001, Australia</t>
  </si>
  <si>
    <t>University of Sydney; University of Tasmania; Geoscience Australia</t>
  </si>
  <si>
    <t>Hughes, MG (corresponding author), Univ Sydney, Dept Geol &amp; Geophys FO5, Sydney, NSW 2006, Australia.</t>
  </si>
  <si>
    <t>Harris, Peter/AAI-7100-2020; Hubble, Thomas/F-6636-2016; Hughes, Michael/AAV-1966-2020; Hubble, Thomas/R-2150-2019; Harris, Peter T/C-6997-2009</t>
  </si>
  <si>
    <t>Hubble, Thomas/0000-0003-0875-8636; Hughes, Michael/0000-0003-2225-336X; Hubble, Thomas/0000-0003-0875-8636;</t>
  </si>
  <si>
    <t>0037-0746</t>
  </si>
  <si>
    <t>Sedimentology</t>
  </si>
  <si>
    <t>10.1046/j.1365-3091.1998.0159f.x</t>
  </si>
  <si>
    <t>ZR775</t>
  </si>
  <si>
    <t>WOS:000074012500010</t>
  </si>
  <si>
    <t>Cueto, M; Darias, J; Rovirosa, J; San-Martín, A</t>
  </si>
  <si>
    <t>Pantoneurotriols:: Probable biogenetic precursors of oxygenated monoterpenes from Antarctic Pantoneura plocamioides</t>
  </si>
  <si>
    <t>TETRAHEDRON</t>
  </si>
  <si>
    <t>Pantoneurotriols 1a and 2a are acyclic polyoxygenated monoterpenes isolated from the Antarctic endemism Pantoneura plocamioides together with compounds 3 and 4. The stereochemistries of these compounds were established by spectroscopic methods and pantoneurotriols have been proposed as biogenetic precursors of pantofuranoids, uncommon monoterpenes isolated from the same species. It was interesting to find compounds 4 and 5, metabolites first isolated from Plocanium cartilagineum, in a species belonging to a different order such as P. plocamioides. (C) 1998 Elsevier Science Ltd. All rights reserved.</t>
  </si>
  <si>
    <t>CSIC, Inst Prod Nat &amp; Agrobiol, Tenerife 38206, Spain; Univ Chile, Fac Ciencias, Dept Quim, Santiago, Chile</t>
  </si>
  <si>
    <t>Consejo Superior de Investigaciones Cientificas (CSIC); CSIC - Instituto de Productos Naturales y Agrobiologia (IPNA); Universidad de Chile</t>
  </si>
  <si>
    <t>Darias, J (corresponding author), CSIC, Inst Prod Nat &amp; Agrobiol, Avda Astrofis F Sanchez 3,Apdo 195, Tenerife 38206, Spain.</t>
  </si>
  <si>
    <t>Cueto, Mercedes/L-3185-2014</t>
  </si>
  <si>
    <t>Cueto, Mercedes/0000-0002-9112-6877</t>
  </si>
  <si>
    <t>0040-4020</t>
  </si>
  <si>
    <t>Tetrahedron</t>
  </si>
  <si>
    <t>10.1016/S0040-4020(98)00090-8</t>
  </si>
  <si>
    <t>ZC091</t>
  </si>
  <si>
    <t>WOS:000072539000020</t>
  </si>
  <si>
    <t>Harder, TC; Harder, M; de Swart, RL; Osterhaus, ADME; Liess, B</t>
  </si>
  <si>
    <t>Major immunogenic proteins of phocid herpesviruses and their relationships to proteins of canine and feline herpesviruses</t>
  </si>
  <si>
    <t>VETERINARY QUARTERLY</t>
  </si>
  <si>
    <t>SIMPLEX VIRUS TYPE-1; GLYCOPROTEIN-B; IMMUNOLOGICAL CHARACTERIZATION; MONOCLONAL-ANTIBODIES; ANTARCTIC SEALS; AMINO-ACID; VITULINA; GB; ALPHAHERPESVIRUSES; IDENTIFICATION</t>
  </si>
  <si>
    <t>The immunogenic proteins of cells infected with the alpha- or the gamma-herpesvirus of seals, phocid herpesvirus-1 and -2 (PhHV-1, -2), were examined in radioimmunoprecipitation assays as a further step towards the development of a PhHV-1 vaccine, With sera obtained from convalescent seals of different species or murine monoclonal antibodies (Mabs), at least seven virus-induced glycoproteins were detected in lysates of PhHV-1-infected CrFK cells. A presumably disulphide-linked complex composed of glycoproteins of 59, 67 and 113/120 kDa, expressed on the surface of infected cells, was characterized as a major immunogenic infected cell protein of PhHV-1. This glycoprotein complex has previously been identified as the proteolytically cleavable glycoprotein B homologue of PhHV-1 (14). At least three distinct neutralization-relevant epitopes were operationally mapped, by using Mabs, on the glycoprotein B of PhHV-1. Among the infected cell proteins of the antigenically closely related feline and canine herpesvirus, the glycoprotein B equivalent proved to be the most highly conserved glycoprotein, Sera obtained from different seal species from Arctic, Antarctic, and European habitats did not precipitate uniform patterns of infected cell proteins from PhHV-1-infected cell lysates although similar titres of neutralizing antibodies were displayed. Thus, antigenic differences among the alphaherpesvirus species prevalent in the different pinniped populations cannot be excluded. PhHV-2 displayed a different pattern of infected cell proteins and only limited cross-reactivity to PhHV-1 at the protein level was detected, which is in line with its previous classification as a distinct species, based on nucleotide sequence analysis, of the gammaherpesvirus lineage. A Mab raised against PhHV-2 and specific for a major glycoprotein of 117 kDa, cross reacted with the glycoprotein B of PhHV-1. The 117-kDa glycoprotein could represent the uncleaved PhHV-2 glycoprotein B homologue.</t>
  </si>
  <si>
    <t>Univ Kiel, Inst Med Microbiol &amp; Virol, D-24105 Kiel, Germany; Seal Rehabil &amp; Res Ctr, NL-9968 AG Pieterburen, Netherlands; Hannover Sch Vet Med, Inst Virol, D-30559 Hannover, Germany; Erasmus Univ, Dept Virol, NL-3000 DR Rotterdam, Netherlands</t>
  </si>
  <si>
    <t>University of Kiel; University of Veterinary Medicine Hannover; Erasmus University Rotterdam; Erasmus University Rotterdam - Excl Erasmus MC</t>
  </si>
  <si>
    <t>Univ Kiel, Inst Med Microbiol &amp; Virol, Brunswiker Str 4, D-24105 Kiel, Germany.</t>
  </si>
  <si>
    <t>de Swart, Rik L./E-6508-2011; Harder, Timm/AAE-2932-2019</t>
  </si>
  <si>
    <t>de Swart, Rik L./0000-0003-3599-8969; Harder, Timm/0000-0003-2387-378X</t>
  </si>
  <si>
    <t>0165-2176</t>
  </si>
  <si>
    <t>1875-5941</t>
  </si>
  <si>
    <t>VET QUART</t>
  </si>
  <si>
    <t>Vet. Q.</t>
  </si>
  <si>
    <t>10.1080/01652176.1998.9694838</t>
  </si>
  <si>
    <t>Veterinary Sciences</t>
  </si>
  <si>
    <t>ZG662</t>
  </si>
  <si>
    <t>WOS:000073026600003</t>
  </si>
  <si>
    <t>West, BP; Sempere, JC</t>
  </si>
  <si>
    <t>Gravity anomalies, flexure of axial lithosphere, and along-axis asthenospheric flow beneath the southeast Indian ridge</t>
  </si>
  <si>
    <t>gravity anomalies; Bouguer anomalies; mantle; asthenosphere; lithosphere; Mid-Indian Ridge</t>
  </si>
  <si>
    <t>EAST PACIFIC RISE; MID-ATLANTIC RIDGE; CURRENT PLATE MOTIONS; SPREADING RATE; CRUSTAL THICKNESS; OCEANIC CRUSTAL; MIDOCEAN RIDGES; MANTLE FLOW; DEPENDENCE; MODEL</t>
  </si>
  <si>
    <t>Mantle Bouguer and residual gravity anomaly patterns consistent with two-and three-dimensional mantle flow and/or crustal thickness variability, are observed juxtaposed within the five first-order segments of the Southeast Indian Ridge (SEIR) surveyed between 98 degrees and 112 degrees E. Within each segment 'bull's-eye' or 'triangular' patterns of mantle Bouguer and residual gravity anomalies, consistent with focused mantle upwelling and/or three-dimensional crustal thickness patterns, occur systematically toward the western ends of segments which adjoin significant left-stepping offsets in the ridge axis. The eastern ends of these segments and those that abut smaller, right-stepping transforms display a more two-dimensional anomaly character. Axial morphology also varies along strike; axial highs coincide with focused gravity anomalies, while rifted highs occur elsewhere. These observations imply that more magmatically robust extension, more vigorous mantle upwelling, and/or thicker crust characterize the western parts of those segments adjacent to significant ridge offsets. These trends are mirrored east of the deepest portions of the Australian-Antarctic Discordance (AAD), where more vigorous upwelling is located toward the eastern end of segment B5. In addition to the usual interpretations in terms of crustal thickness and/or mantle temperature, we suggest that the systematics of topographic style and gravity anomaly character provide further evidence for along-axis asthenospheric flow beneath the SEIR. In western portions of segments between 98 degrees and 112 degrees E, sub-axial flow toward the AAD causes asthenosphere to be drawn from beneath older Lithosphere to the west, thereby increasing the region of mantle upwelling and melting supplying the 'upstream' portion of the ridge axis. (C) 1998 Elsevier Science B.V. All rights reserved.</t>
  </si>
  <si>
    <t>Univ Washington, Sch Oceanog, Seattle, WA 98195 USA</t>
  </si>
  <si>
    <t>West, BP (corresponding author), Woods Hole Oceanog Inst, Dept Geol &amp; Geophys, Woods Hole, MA 02543 USA.</t>
  </si>
  <si>
    <t>MAR 30</t>
  </si>
  <si>
    <t>10.1016/S0012-821X(98)00010-7</t>
  </si>
  <si>
    <t>ZL370</t>
  </si>
  <si>
    <t>WOS:000073426100010</t>
  </si>
  <si>
    <t>Kane, RP</t>
  </si>
  <si>
    <t>Ozone depletion, related UVB changes and increased skin cancer incidence</t>
  </si>
  <si>
    <t>ozone; ultraviolet radiation; skin cancer</t>
  </si>
  <si>
    <t>ULTRAVIOLET-B RADIATION; UNITED-STATES CLOUDINESS; STRATOSPHERIC OZONE; EARTHS SURFACE; LONG-TERM; CUTANEOUS MELANOMA; HYDROGEN-CHLORIDE; ANTARCTIC VORTEX; MIDDLE LATITUDES; TEMPORAL CHANGES</t>
  </si>
  <si>
    <t>Stratospheric ozone at middle latitudes shows a seasonal variation of about +/- 20%, a quasi-biennial oscillation of 1-10% range and a long-term variation in which the level was almost steady up to about 1979 and declined thereafter to the present day by about 10%. These variations are expected to be reflected in solar UVB observed at the ground, but in an opposite direction. Thus UVB should have had a long-term increase of about 10-20%,, which should cause an increase in skin cancer incidence of about 20-40%. Skin cancer incidence has increased all over the world, e.g. about 90% in USA during 1974-1990. It is popularly believed that this increase in skin cancer incidence is related to the recent ozone depletion. This seems to be incorrect, for two reasons. Firstly, the observed skin cancer increase is too large (90%) compared with the expected value (40%) from ozone depletion. Secondly, cancer does not develop immediately after exposure to solar UVB. The sunburns may occur within hours; but cancer development and detection may take years, even decades. Hence the observed skin cancer increase since 1974 (no data available for earlier periods) must have occurred due to exposure to solar UVB in the 1950s and 1960s, when there was no ozone depletion. Thus, the skin cancer increase must be attributed to harmful solar UVB levels existing even in the 1960s, accentuated later not by ozone depletion (which started only much later, by 1979) but by other causes, such as a longer human life span, better screening, increasing tendencies of sunbathing at beaches, etc., in affluent societies. On the other hand, the recent ozone depletion and the associated UVB increases will certainly take their toll; only that the effects will not be noticed now but years or decades from now. The concern for the future expressed in the Montreal Protocol for reducing ozone depletion by controlling CFC production is certainly justified, especially because increased UVB is harmful to animal and plant life also. However, because the increased cancer incidence observed so far may not be (entirely) due to ozone depletion, other causes need to be investigated urgently and, if possible, remedied. Otherwise, deaths due to skin cancer will continue even after CFC production is controlled and ozone levels are recovered. There is no room for complacency. If nothing else is possible, use of protective screens and creams and avoiding exposure to sunlight during peak hours (10:00-15:00 h) should be strongly recommended. (C) 1998 John Wiley &amp; Sons, Ltd.</t>
  </si>
  <si>
    <t>INPE, BR-12201970 Sao Jose Dos Campos, SP, Brazil</t>
  </si>
  <si>
    <t>Instituto Nacional de Pesquisas Espaciais (INPE)</t>
  </si>
  <si>
    <t>INPE, CP 515, BR-12201970 Sao Jose Dos Campos, SP, Brazil.</t>
  </si>
  <si>
    <t>1097-0088</t>
  </si>
  <si>
    <t>10.1002/(SICI)1097-0088(19980330)18:4&lt;457::AID-JOC242&gt;3.0.CO;2-#</t>
  </si>
  <si>
    <t>ZJ656</t>
  </si>
  <si>
    <t>WOS:000073238900007</t>
  </si>
  <si>
    <t>Heinemann, G</t>
  </si>
  <si>
    <t>A mesoscale model-based study of the dynamics of a wintertime polar low in the Weddell Sea region of the Antarctic during the Winter Weddell Sea Program field phase 1986</t>
  </si>
  <si>
    <t>KATABATIC WINDS; SIMULATION; FLUXES; ICE</t>
  </si>
  <si>
    <t>A wintertime mesocyclone (MC) event occurring during the Winter Weddell Sea Program field phase 1986 is studied by digital advanced very high-resolution radiometer data and numerical simulations using the mesoscale Norwegian Limited Area Model. The MC considered developed during July 30, 1986, near the sea ice front of the northern Weddell Sea. During its initial and developmental phases it moved eastward parallel to the sea ice front. During the first 24 hours, baroclinic instability and diabatic heating were found to be of great importance for the intensification. During its mature stage (the following 24 hours), a pronounced frontal system formed, and baroclinic instability can be regarded as the main process for its further development. The MC moved over the sea ice during its mature stage, so the forcing by surface energy fluxes was less important. A cyclonic upper level potential vorticity anomaly was found to be present during the mature stage. The MC had a diameter of about 700 km and a lifetime of more than 48 hours and reached the intensify of a polar low (measured near-surface wind speeds of up to 26 m/s). The model results revealed good agreement with observations (radiosondes and synoptic observations) in the case of the full physics run, but in the case of the no cloud physics run this was very poor.</t>
  </si>
  <si>
    <t>Univ Bonn, Inst Meteorol, D-53121 Bonn, Germany</t>
  </si>
  <si>
    <t>University of Bonn</t>
  </si>
  <si>
    <t>Heinemann, G (corresponding author), Univ Bonn, Inst Meteorol, Hugel 20, D-53121 Bonn, Germany.</t>
  </si>
  <si>
    <t>Heinemann, Gunther/0000-0002-4831-9016</t>
  </si>
  <si>
    <t>MAR 27</t>
  </si>
  <si>
    <t>D6</t>
  </si>
  <si>
    <t>10.1029/97JD03488</t>
  </si>
  <si>
    <t>ZD911</t>
  </si>
  <si>
    <t>WOS:000072737800004</t>
  </si>
  <si>
    <t>Guynn, SR; Smith, DD; Petzel, DH</t>
  </si>
  <si>
    <t>Regulation of chloride cell oxygen consumption in Antarctic fish.</t>
  </si>
  <si>
    <t>FASEB JOURNAL</t>
  </si>
  <si>
    <t>Creighton Univ, Sch Med, Dept Biomed Sci, Omaha, NE 68178 USA</t>
  </si>
  <si>
    <t>Creighton University</t>
  </si>
  <si>
    <t>FEDERATION AMER SOC EXP BIOL</t>
  </si>
  <si>
    <t>9650 ROCKVILLE PIKE, BETHESDA, MD 20814-3998 USA</t>
  </si>
  <si>
    <t>0892-6638</t>
  </si>
  <si>
    <t>FASEB J</t>
  </si>
  <si>
    <t>Faseb J.</t>
  </si>
  <si>
    <t>MAR 20</t>
  </si>
  <si>
    <t>A1026</t>
  </si>
  <si>
    <t>Biochemistry &amp; Molecular Biology; Biology; Cell Biology</t>
  </si>
  <si>
    <t>Biochemistry &amp; Molecular Biology; Life Sciences &amp; Biomedicine - Other Topics; Cell Biology</t>
  </si>
  <si>
    <t>121HD</t>
  </si>
  <si>
    <t>WOS:000076006502323</t>
  </si>
  <si>
    <t>Levels of non-essential trace metals (Cd, Pb, Ni, V and Hg) in soft tissues of the antarctic cod Notothenia coriiceps.</t>
  </si>
  <si>
    <t>Argentine Antarctic Inst, RA-1010 Buenos Aires, DF, Argentina; Sch Pharm &amp; Biochem, RA-1113 Buenos Aires, DF, Argentina</t>
  </si>
  <si>
    <t>A837</t>
  </si>
  <si>
    <t>WOS:000076006501231</t>
  </si>
  <si>
    <t>Francisco, JS; Clark, J</t>
  </si>
  <si>
    <t>Study of the stability of BrClO3 isomers</t>
  </si>
  <si>
    <t>ANTARCTIC STRATOSPHERE; REACTION CLO; OZONE; KINETICS; BROMINE; CHLORINE; PRODUCT; OCLO; BRO; HOBR</t>
  </si>
  <si>
    <t>The structures, vibrational frequencies, and rotational constants have been determined using ab initio methods of isomers of BrClO3. The BrOCl(O)O structural form is found to be the most stable. This species could be formed from the three-body reactions involving BrO + OClO + M --&gt; BrOCl(O)O + M and Br + ClO3 + M --&gt; BrOCl(O)O + M. The heats of reaction for these processes are estimated to be -8.2 and -24.4 kcal mol(-1), respectively.</t>
  </si>
  <si>
    <t>Purdue Univ, Dept Chem, W Lafayette, IN 47907 USA; Purdue Univ, Dept Earth &amp; Atmospher Sci, W Lafayette, IN 47907 USA</t>
  </si>
  <si>
    <t>Purdue University System; Purdue University; Purdue University System; Purdue University</t>
  </si>
  <si>
    <t>Purdue Univ, Dept Chem, W Lafayette, IN 47907 USA.</t>
  </si>
  <si>
    <t>MAR 19</t>
  </si>
  <si>
    <t>10.1021/jp972853s</t>
  </si>
  <si>
    <t>ZE035</t>
  </si>
  <si>
    <t>WOS:000072750700014</t>
  </si>
  <si>
    <t>Laturnus, F; Adams, FC; Wiencke, C</t>
  </si>
  <si>
    <t>Methyl halides from Antarctic macroalgae</t>
  </si>
  <si>
    <t>HALOGENATED ORGANIC-COMPOUNDS; PHOTOCHEMICAL PRODUCTION; ATMOSPHERIC CH3BR; MARINE MACROALGAE; POLAR MACROALGAE; IODIDE; CHLORIDE; BROMIDE; OCEAN; DMSP</t>
  </si>
  <si>
    <t>Various species of Antarctic macroalgae have been found to produce and release methyl halides at mean values of 34.7 pmol g(-1) waw (wet algal weight) d(-1) (methyl chloride), 1.98 pmol g(-1) waw d(-1) (methyl bromide) and 1.68 pmol g(-1) waw d(-1) (methyl iodide) into the seawater. Compared to temperate macroalgae, Antarctic macroalgae showed an approximately 10 to 50-fold lower release of these compounds. Due to the lower release and the restriction to the Antarctic region, Antarctic macroalgae may play a minor role in the global production of methyl halide, but have to be considered as biogenic contributors for methyl halides to the halocarbon budget in the Antarctic environment. Additional, investigated bromoform release, brominating activity and dimethylsulfoniopropionate (DMSP) concentrations detected in Antarctic macroalgae showed no correlation with methyl halides release rates. Therefore, a formation different to suggested enzymic pathways or origin from DMSP reacting with halides can be assumed.</t>
  </si>
  <si>
    <t>Univ Instelling Antwerp, Micro &amp; Trace Anal Ctr, B-2610 Wilrijk, Belgium; Alfred Wegener Inst Polar &amp; Marine Res, D-27568 Bremerhaven, Germany</t>
  </si>
  <si>
    <t>Laturnus, F (corresponding author), Riso Natl Lab, Plant Biol &amp; Biogeochem Dept, Bldg 124,POB 49, DK-4000 Roskilde, Denmark.</t>
  </si>
  <si>
    <t>frank.laturnus@risoe.dk</t>
  </si>
  <si>
    <t>MAR 15</t>
  </si>
  <si>
    <t>10.1029/98GL00490</t>
  </si>
  <si>
    <t>ZD051</t>
  </si>
  <si>
    <t>WOS:000072645900004</t>
  </si>
  <si>
    <t>Blagoveshchenskaya, NF; Kornienko, VA; Rietveld, MT; Thide, B; Brekke, A; Moskvin, IV; Nozdrachev, S</t>
  </si>
  <si>
    <t>Stimulated emissions around second harmonic of Tromso heater frequency observed by long-distance diagnostic HF tools</t>
  </si>
  <si>
    <t>HEATING EXPERIMENTS; ELECTROMAGNETIC EMISSIONS; IONOSPHERE; PLASMA</t>
  </si>
  <si>
    <t>Observations of stimulated electromagnetic emission (SEE) around the second harmonic of Tromso heater frequency carried out by long-distance diagnostic HF tools are presented. Diagnostic tools are located at a distance of 1200 km from the Tromso HF heater. Observed SEE spectra show: (1) spectral broadening up to 30 kHz; (2) frequency shift of the maximum amplitude in the SEE spectra from the heater second harmonic frequency 8080 kHz by 16-20 kHz; (a) dependence of the maximum amplitude on the heater power level. The detected features in the SEE spectra have not been observed before in ionospheric heating experiments and may be the second harmonic of the downshifted maximum. The strongest candidate is the coalescense (head-on collisions) of Langmuir waves produced in the heated volume.</t>
  </si>
  <si>
    <t>Arctic &amp; Antarctic Res Inst, St Petersburg 199397, Russia; EISCAT Sci Assoc, N-9027 Ramfjordbotn, Norway; Swedish Inst Space Phys, S-75591 Uppsala, Sweden; Univ Tromso, Auroral Observ, N-9037 Tromso, Norway; Univ Studies Svalbard, Svalbard, Norway</t>
  </si>
  <si>
    <t>Blagoveshchenskaya, NF (corresponding author), Arctic &amp; Antarctic Res Inst, 38 Bering St, St Petersburg 199397, Russia.</t>
  </si>
  <si>
    <t>Blagoveshchenskaya, Nataly/AAE-4093-2022; Thide, Bo/B-7734-2009; Blagoveshchenskaya, Nataly F./S-4342-2017</t>
  </si>
  <si>
    <t>Blagoveshchenskaya, Nataly/0000-0003-1752-3273; Blagoveshchenskaya, Nataly F./0000-0003-1752-3273; Thide, Bo/0000-0001-7086-8049</t>
  </si>
  <si>
    <t>10.1029/98GL00492</t>
  </si>
  <si>
    <t>WOS:000072645900029</t>
  </si>
  <si>
    <t>Walker, ADM; Pinnock, M; Baker, KB; Dudeney, JR; Rash, JPS</t>
  </si>
  <si>
    <t>Strong flow bursts in the nightside ionosphere during extremely quiet solar wind conditions</t>
  </si>
  <si>
    <t>INTERPLANETARY MAGNETIC-FIELD; PLASMA VELOCITY; CONVECTION; MAGNETOSPHERE; CONJUGATE</t>
  </si>
  <si>
    <t>Results of an HF radar study of convection during an extended quiet solar wind interval on March 10 1997 are presented. After thirty hours during which the solar wind met the criteria for quiet conditions the HF radars at Sanae and Halley in Antarctica showed strong activity on the night side. Flow bursts with velocities of more than 2000 m s(-1) corresponding to electric fields exceeding 100 m V m(-1) were observed. These occurred quasi-periodically for almost two hours on the night-side with a repetition time of several minutes. It is concluded that they map to a region well inside the magnetotail. It is suggested that they are associated with sporadic energy release during reconfiguration of the tail magnetic field, and that this can occur even during and extended quiet solar wind period.</t>
  </si>
  <si>
    <t>Univ Natal, Space Phys Res Inst, Dept Phys, ZA-4041 Durban, South Africa; British Antarctic Survey, Cambridge CB3 ET0, England; Johns Hopkins Univ, Appl Phys Lab, Laurel, MD 20723 USA</t>
  </si>
  <si>
    <t>University of Kwazulu Natal; UK Research &amp; Innovation (UKRI); Natural Environment Research Council (NERC); NERC British Antarctic Survey; Johns Hopkins University; Johns Hopkins University Applied Physics Laboratory</t>
  </si>
  <si>
    <t>Walker, ADM (corresponding author), Univ Natal, Space Phys Res Inst, Dept Phys, ZA-4041 Durban, South Africa.</t>
  </si>
  <si>
    <t>Walker, David/K-6906-2016</t>
  </si>
  <si>
    <t>Walker, David/0000-0002-4581-752X</t>
  </si>
  <si>
    <t>10.1029/98GL00408</t>
  </si>
  <si>
    <t>WOS:000072645900031</t>
  </si>
  <si>
    <t>Turner, J; Marshall, GJ; Lachlan-Cope, TA</t>
  </si>
  <si>
    <t>Analysis of synoptic-scale low pressure systems within the Antarctic peninsula sector of the circumpolar trough</t>
  </si>
  <si>
    <t>circumpolar trough; depressions; cyclogenesis; cyclolysis; satellite climatology; Antarctic Peninsula; Bellingshausen Sea; Weddell Sea</t>
  </si>
  <si>
    <t>SOUTHERN-HEMISPHERE; MESOSCALE CYCLONES; CLIMATOLOGY; ASSOCIATIONS; CYCLOGENESIS; VORTICES; VORTEX</t>
  </si>
  <si>
    <t>Satellite imagery of the Antarctic Peninsula, Bellingshausen Sea, and Weddell Sea region, together with operational meteorological analyses, are used to investigate the development, tracks, and structure of synoptic-scale weather systems within the Antarctic Peninsula sector of the circumpolar trough, which rings the Southern Hemisphere between the latitudes of 60 degrees and 70 degrees S. A number of previous studies have shown that more cyclogenesis events take place within this zone than in any other region of the Southern Hemisphere, although the mechanisms behind these developments have not been investigated previously. This study confirms the large number of cyclogenesis events taking place within the circumpolar trough and, in the year examined, the mean latitude of cyclogenesis within the sector was 64 degrees S. During the year, 504 lows were observed, with 281 developing in the area and 223 moving in. The diameters of the systems observed ranged from 300 to 3500 km, with the smallest vortices being mesocyclones that later grew into synoptic-scale lows. The mean distance travelled by the depressions was only 1377 km (standard deviation 1205 km), reflecting the fact that the systems observed ranged from small quasi-stationary lows to large, very mobile depressions. The mean meridional movement of the lows during their existence was very small. The greatest number of cyclogenesis events were observed over the Bellingshausen Sea, where more than 0.48 events 10 000 km(-2) year(-1) were found, with a secondary maximum in the lee of the Antarctic Peninsula. The mean lifetime of the systems observed was 22 h, with over half the vortices existing for less than 24 h. A maximum of cyclolysis was found just to the west of the Antarctic Peninsula, with a secondary maximum in the South Atlantic. Of the systems that formed within the area, 36% were developments within pre-existing large areas of low pressure, which were similar to the 'merry-go-round' formations of mesocyclones. A further 39% of developments consisted of waves on major frontal bands. The remaining developments comprised lee lows and some cyclogenesis events in synoptically isolated regions. (C) 1998 Royal Meteorological Society.</t>
  </si>
  <si>
    <t>Turner, J (corresponding author), British Antarctic Survey, Nat Environm Res Council, Madingley Rd, Cambridge CB3 0ET, England.</t>
  </si>
  <si>
    <t>J.Turner@BAS.AC.UK</t>
  </si>
  <si>
    <t>Turner, John/0000-0002-6111-5122</t>
  </si>
  <si>
    <t>10.1002/(SICI)1097-0088(19980315)18:3&lt;253::AID-JOC248&gt;3.3.CO;2-V</t>
  </si>
  <si>
    <t>ZD629</t>
  </si>
  <si>
    <t>WOS:000072706000002</t>
  </si>
  <si>
    <t>Zangenberg, N; Siedler, G</t>
  </si>
  <si>
    <t>Path of the North Atlantic Deep Water in the Brazil Basin</t>
  </si>
  <si>
    <t>WESTERN BOUNDARY CURRENT; ANTARCTIC BOTTOM WATER; SOUTH-ATLANTIC; GEOSTROPHIC CIRCULATION; SOUTHWESTERN ATLANTIC; EQUATOR; OCEAN; TRANSPORT; FLOW; MASSES</t>
  </si>
  <si>
    <t>Recent hydrographic sections and high-quality historical data sets are used to determine geostrophic currents at subtropical latitudes in the western basin of the South Atlantic. Levels of no motion are determined from water mass information and a mass balance constraint to obtain the transport field of North Atlantic Deep Water (NADW) in this region. The incoming NADW transport of about 20 Sv from the north at 19 degrees S appears to be balanced by only one third of this transport leaving in the south and two thirds leaving to the east or northeast at the Mid-Atlantic Ridge. A simple model is proposed to determine the cause of the NADW branching. It is shown that potential vorticity preservation in the presence of topographic changes leads to a similar flow pattern as observed, with branching near the Vitoria-Trindade-Ridge and also an eastward turning of the southward western boundary current at about 28 degrees S, the latitude where a balance of planetary vorticity change and stretching can be expected.</t>
  </si>
  <si>
    <t>Zangenberg, N (corresponding author), Univ Kiel, Inst Meereskunde, Dusternbrooker Weg 20, D-24105 Kiel, Germany.</t>
  </si>
  <si>
    <t>C3</t>
  </si>
  <si>
    <t>10.1029/97JC03287</t>
  </si>
  <si>
    <t>ZB957</t>
  </si>
  <si>
    <t>WOS:000072525300006</t>
  </si>
  <si>
    <t>Muller, TJ; Ikeda, Y; Zangenberg, N; Nonato, LV</t>
  </si>
  <si>
    <t>Direct measurements of western boundary currents off Brazil between 20°S and 28°S</t>
  </si>
  <si>
    <t>SOUTH-ATLANTIC OCEAN; ANTARCTIC INTERMEDIATE WATER; GEOSTROPHIC CIRCULATION; TRANSPORT; BASIN; FLOW</t>
  </si>
  <si>
    <t>Current measurements from three moored arrays on the Brazilian continental slope between 20 degrees S and 28 degrees S are investigated for the existence and strength of western boundary currents from near the surface down to the North Atlantic Deep Water. The Brazil Current is found to deepen southward from 100 m to more than 670 m and to strengthen its volume transport to 16.2 x 10(6) m(3)/s. Antarctic Intermediate Water is transported in a well-developed boundary current southward at 28 degrees S and northward north of Cabo Frio (24 degrees S). This result supports earlier suggestions derived from the analysis of hydrographic data that Antarctic Intermediate Water enters the Brazil Basin from the east and bifurcates as it meets the continental break off Brazil. North Atlantic Deep Water is transported southward in a weakly developed boundary current that leads to lower estimates of volume transport than expected from earlier hydrographic data analysis.</t>
  </si>
  <si>
    <t>Univ Kiel, Inst Meereskunde, D-2300 Kiel, Germany; Univ Sao Paulo, Inst Oceanog, Sao Paulo, Brazil</t>
  </si>
  <si>
    <t>University of Kiel; Universidade de Sao Paulo</t>
  </si>
  <si>
    <t>Muller, TJ (corresponding author), Univ Kiel, Inst Meereskunde, D-2300 Kiel, Germany.</t>
  </si>
  <si>
    <t>10.1029/97JC03529</t>
  </si>
  <si>
    <t>WOS:000072525300007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</si>
</sst>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73</v>
      </c>
      <c r="G2" t="s">
        <v>74</v>
      </c>
      <c r="H2" t="s">
        <v>74</v>
      </c>
      <c r="I2" t="s">
        <v>75</v>
      </c>
      <c r="J2" t="s">
        <v>76</v>
      </c>
      <c r="K2" t="s">
        <v>74</v>
      </c>
      <c r="L2" t="s">
        <v>74</v>
      </c>
      <c r="M2" t="s">
        <v>77</v>
      </c>
      <c r="N2" t="s">
        <v>78</v>
      </c>
      <c r="O2" t="s">
        <v>74</v>
      </c>
      <c r="P2" t="s">
        <v>74</v>
      </c>
      <c r="Q2" t="s">
        <v>74</v>
      </c>
      <c r="R2" t="s">
        <v>74</v>
      </c>
      <c r="S2" t="s">
        <v>74</v>
      </c>
      <c r="T2" t="s">
        <v>79</v>
      </c>
      <c r="U2" t="s">
        <v>80</v>
      </c>
      <c r="V2" t="s">
        <v>81</v>
      </c>
      <c r="W2" t="s">
        <v>82</v>
      </c>
      <c r="X2" t="s">
        <v>83</v>
      </c>
      <c r="Y2" t="s">
        <v>84</v>
      </c>
      <c r="Z2" t="s">
        <v>85</v>
      </c>
      <c r="AA2" t="s">
        <v>74</v>
      </c>
      <c r="AB2" t="s">
        <v>74</v>
      </c>
      <c r="AC2" t="s">
        <v>74</v>
      </c>
      <c r="AD2" t="s">
        <v>74</v>
      </c>
      <c r="AE2" t="s">
        <v>74</v>
      </c>
      <c r="AF2" t="s">
        <v>74</v>
      </c>
      <c r="AG2">
        <v>128</v>
      </c>
      <c r="AH2">
        <v>19</v>
      </c>
      <c r="AI2">
        <v>21</v>
      </c>
      <c r="AJ2">
        <v>0</v>
      </c>
      <c r="AK2">
        <v>7</v>
      </c>
      <c r="AL2" t="s">
        <v>86</v>
      </c>
      <c r="AM2" t="s">
        <v>87</v>
      </c>
      <c r="AN2" t="s">
        <v>88</v>
      </c>
      <c r="AO2" t="s">
        <v>89</v>
      </c>
      <c r="AP2" t="s">
        <v>90</v>
      </c>
      <c r="AQ2" t="s">
        <v>74</v>
      </c>
      <c r="AR2" t="s">
        <v>91</v>
      </c>
      <c r="AS2" t="s">
        <v>92</v>
      </c>
      <c r="AT2" t="s">
        <v>74</v>
      </c>
      <c r="AU2">
        <v>1999</v>
      </c>
      <c r="AV2">
        <v>37</v>
      </c>
      <c r="AW2">
        <v>1</v>
      </c>
      <c r="AX2" t="s">
        <v>74</v>
      </c>
      <c r="AY2" t="s">
        <v>74</v>
      </c>
      <c r="AZ2" t="s">
        <v>74</v>
      </c>
      <c r="BA2" t="s">
        <v>74</v>
      </c>
      <c r="BB2">
        <v>209</v>
      </c>
      <c r="BC2">
        <v>244</v>
      </c>
      <c r="BD2" t="s">
        <v>74</v>
      </c>
      <c r="BE2" t="s">
        <v>93</v>
      </c>
      <c r="BF2" t="str">
        <f>HYPERLINK("http://dx.doi.org/10.1071/S98011","http://dx.doi.org/10.1071/S98011")</f>
        <v>http://dx.doi.org/10.1071/S98011</v>
      </c>
      <c r="BG2" t="s">
        <v>74</v>
      </c>
      <c r="BH2" t="s">
        <v>74</v>
      </c>
      <c r="BI2">
        <v>36</v>
      </c>
      <c r="BJ2" t="s">
        <v>94</v>
      </c>
      <c r="BK2" t="s">
        <v>95</v>
      </c>
      <c r="BL2" t="s">
        <v>96</v>
      </c>
      <c r="BM2" t="s">
        <v>97</v>
      </c>
      <c r="BN2" t="s">
        <v>74</v>
      </c>
      <c r="BO2" t="s">
        <v>74</v>
      </c>
      <c r="BP2" t="s">
        <v>74</v>
      </c>
      <c r="BQ2" t="s">
        <v>74</v>
      </c>
      <c r="BR2" t="s">
        <v>98</v>
      </c>
      <c r="BS2" t="s">
        <v>99</v>
      </c>
      <c r="BT2" t="str">
        <f>HYPERLINK("https%3A%2F%2Fwww.webofscience.com%2Fwos%2Fwoscc%2Ffull-record%2FWOS:000078259000015","View Full Record in Web of Science")</f>
        <v>View Full Record in Web of Science</v>
      </c>
    </row>
    <row r="3" spans="1:72" x14ac:dyDescent="0.15">
      <c r="A3" t="s">
        <v>72</v>
      </c>
      <c r="B3" t="s">
        <v>100</v>
      </c>
      <c r="C3" t="s">
        <v>74</v>
      </c>
      <c r="D3" t="s">
        <v>74</v>
      </c>
      <c r="E3" t="s">
        <v>74</v>
      </c>
      <c r="F3" t="s">
        <v>100</v>
      </c>
      <c r="G3" t="s">
        <v>74</v>
      </c>
      <c r="H3" t="s">
        <v>74</v>
      </c>
      <c r="I3" t="s">
        <v>101</v>
      </c>
      <c r="J3" t="s">
        <v>102</v>
      </c>
      <c r="K3" t="s">
        <v>74</v>
      </c>
      <c r="L3" t="s">
        <v>74</v>
      </c>
      <c r="M3" t="s">
        <v>77</v>
      </c>
      <c r="N3" t="s">
        <v>103</v>
      </c>
      <c r="O3" t="s">
        <v>74</v>
      </c>
      <c r="P3" t="s">
        <v>74</v>
      </c>
      <c r="Q3" t="s">
        <v>74</v>
      </c>
      <c r="R3" t="s">
        <v>74</v>
      </c>
      <c r="S3" t="s">
        <v>74</v>
      </c>
      <c r="T3" t="s">
        <v>74</v>
      </c>
      <c r="U3" t="s">
        <v>104</v>
      </c>
      <c r="V3" t="s">
        <v>105</v>
      </c>
      <c r="W3" t="s">
        <v>106</v>
      </c>
      <c r="X3" t="s">
        <v>107</v>
      </c>
      <c r="Y3" t="s">
        <v>108</v>
      </c>
      <c r="Z3" t="s">
        <v>74</v>
      </c>
      <c r="AA3" t="s">
        <v>74</v>
      </c>
      <c r="AB3" t="s">
        <v>109</v>
      </c>
      <c r="AC3" t="s">
        <v>74</v>
      </c>
      <c r="AD3" t="s">
        <v>74</v>
      </c>
      <c r="AE3" t="s">
        <v>74</v>
      </c>
      <c r="AF3" t="s">
        <v>74</v>
      </c>
      <c r="AG3">
        <v>35</v>
      </c>
      <c r="AH3">
        <v>13</v>
      </c>
      <c r="AI3">
        <v>16</v>
      </c>
      <c r="AJ3">
        <v>1</v>
      </c>
      <c r="AK3">
        <v>11</v>
      </c>
      <c r="AL3" t="s">
        <v>110</v>
      </c>
      <c r="AM3" t="s">
        <v>111</v>
      </c>
      <c r="AN3" t="s">
        <v>112</v>
      </c>
      <c r="AO3" t="s">
        <v>113</v>
      </c>
      <c r="AP3" t="s">
        <v>74</v>
      </c>
      <c r="AQ3" t="s">
        <v>74</v>
      </c>
      <c r="AR3" t="s">
        <v>114</v>
      </c>
      <c r="AS3" t="s">
        <v>115</v>
      </c>
      <c r="AT3" t="s">
        <v>74</v>
      </c>
      <c r="AU3">
        <v>1999</v>
      </c>
      <c r="AV3">
        <v>47</v>
      </c>
      <c r="AW3">
        <v>6</v>
      </c>
      <c r="AX3" t="s">
        <v>74</v>
      </c>
      <c r="AY3" t="s">
        <v>74</v>
      </c>
      <c r="AZ3" t="s">
        <v>74</v>
      </c>
      <c r="BA3" t="s">
        <v>74</v>
      </c>
      <c r="BB3">
        <v>593</v>
      </c>
      <c r="BC3">
        <v>603</v>
      </c>
      <c r="BD3" t="s">
        <v>74</v>
      </c>
      <c r="BE3" t="s">
        <v>116</v>
      </c>
      <c r="BF3" t="str">
        <f>HYPERLINK("http://dx.doi.org/10.1071/ZO98067","http://dx.doi.org/10.1071/ZO98067")</f>
        <v>http://dx.doi.org/10.1071/ZO98067</v>
      </c>
      <c r="BG3" t="s">
        <v>74</v>
      </c>
      <c r="BH3" t="s">
        <v>74</v>
      </c>
      <c r="BI3">
        <v>11</v>
      </c>
      <c r="BJ3" t="s">
        <v>117</v>
      </c>
      <c r="BK3" t="s">
        <v>95</v>
      </c>
      <c r="BL3" t="s">
        <v>117</v>
      </c>
      <c r="BM3" t="s">
        <v>118</v>
      </c>
      <c r="BN3" t="s">
        <v>74</v>
      </c>
      <c r="BO3" t="s">
        <v>74</v>
      </c>
      <c r="BP3" t="s">
        <v>74</v>
      </c>
      <c r="BQ3" t="s">
        <v>74</v>
      </c>
      <c r="BR3" t="s">
        <v>98</v>
      </c>
      <c r="BS3" t="s">
        <v>119</v>
      </c>
      <c r="BT3" t="str">
        <f>HYPERLINK("https%3A%2F%2Fwww.webofscience.com%2Fwos%2Fwoscc%2Ffull-record%2FWOS:000084069800005","View Full Record in Web of Science")</f>
        <v>View Full Record in Web of Science</v>
      </c>
    </row>
    <row r="4" spans="1:72" x14ac:dyDescent="0.15">
      <c r="A4" t="s">
        <v>72</v>
      </c>
      <c r="B4" t="s">
        <v>120</v>
      </c>
      <c r="C4" t="s">
        <v>74</v>
      </c>
      <c r="D4" t="s">
        <v>74</v>
      </c>
      <c r="E4" t="s">
        <v>74</v>
      </c>
      <c r="F4" t="s">
        <v>120</v>
      </c>
      <c r="G4" t="s">
        <v>74</v>
      </c>
      <c r="H4" t="s">
        <v>74</v>
      </c>
      <c r="I4" t="s">
        <v>121</v>
      </c>
      <c r="J4" t="s">
        <v>122</v>
      </c>
      <c r="K4" t="s">
        <v>74</v>
      </c>
      <c r="L4" t="s">
        <v>74</v>
      </c>
      <c r="M4" t="s">
        <v>77</v>
      </c>
      <c r="N4" t="s">
        <v>123</v>
      </c>
      <c r="O4" t="s">
        <v>124</v>
      </c>
      <c r="P4" t="s">
        <v>125</v>
      </c>
      <c r="Q4" t="s">
        <v>126</v>
      </c>
      <c r="R4" t="s">
        <v>74</v>
      </c>
      <c r="S4" t="s">
        <v>74</v>
      </c>
      <c r="T4" t="s">
        <v>127</v>
      </c>
      <c r="U4" t="s">
        <v>128</v>
      </c>
      <c r="V4" t="s">
        <v>129</v>
      </c>
      <c r="W4" t="s">
        <v>130</v>
      </c>
      <c r="X4" t="s">
        <v>131</v>
      </c>
      <c r="Y4" t="s">
        <v>132</v>
      </c>
      <c r="Z4" t="s">
        <v>133</v>
      </c>
      <c r="AA4" t="s">
        <v>134</v>
      </c>
      <c r="AB4" t="s">
        <v>135</v>
      </c>
      <c r="AC4" t="s">
        <v>74</v>
      </c>
      <c r="AD4" t="s">
        <v>74</v>
      </c>
      <c r="AE4" t="s">
        <v>74</v>
      </c>
      <c r="AF4" t="s">
        <v>74</v>
      </c>
      <c r="AG4">
        <v>102</v>
      </c>
      <c r="AH4">
        <v>33</v>
      </c>
      <c r="AI4">
        <v>33</v>
      </c>
      <c r="AJ4">
        <v>0</v>
      </c>
      <c r="AK4">
        <v>16</v>
      </c>
      <c r="AL4" t="s">
        <v>136</v>
      </c>
      <c r="AM4" t="s">
        <v>137</v>
      </c>
      <c r="AN4" t="s">
        <v>138</v>
      </c>
      <c r="AO4" t="s">
        <v>139</v>
      </c>
      <c r="AP4" t="s">
        <v>140</v>
      </c>
      <c r="AQ4" t="s">
        <v>74</v>
      </c>
      <c r="AR4" t="s">
        <v>141</v>
      </c>
      <c r="AS4" t="s">
        <v>142</v>
      </c>
      <c r="AT4" t="s">
        <v>143</v>
      </c>
      <c r="AU4">
        <v>1999</v>
      </c>
      <c r="AV4">
        <v>129</v>
      </c>
      <c r="AW4">
        <v>1</v>
      </c>
      <c r="AX4" t="s">
        <v>74</v>
      </c>
      <c r="AY4" t="s">
        <v>74</v>
      </c>
      <c r="AZ4" t="s">
        <v>74</v>
      </c>
      <c r="BA4" t="s">
        <v>74</v>
      </c>
      <c r="BB4">
        <v>61</v>
      </c>
      <c r="BC4">
        <v>80</v>
      </c>
      <c r="BD4" t="s">
        <v>74</v>
      </c>
      <c r="BE4" t="s">
        <v>74</v>
      </c>
      <c r="BF4" t="s">
        <v>74</v>
      </c>
      <c r="BG4" t="s">
        <v>74</v>
      </c>
      <c r="BH4" t="s">
        <v>74</v>
      </c>
      <c r="BI4">
        <v>20</v>
      </c>
      <c r="BJ4" t="s">
        <v>117</v>
      </c>
      <c r="BK4" t="s">
        <v>144</v>
      </c>
      <c r="BL4" t="s">
        <v>117</v>
      </c>
      <c r="BM4" t="s">
        <v>145</v>
      </c>
      <c r="BN4" t="s">
        <v>74</v>
      </c>
      <c r="BO4" t="s">
        <v>74</v>
      </c>
      <c r="BP4" t="s">
        <v>74</v>
      </c>
      <c r="BQ4" t="s">
        <v>74</v>
      </c>
      <c r="BR4" t="s">
        <v>98</v>
      </c>
      <c r="BS4" t="s">
        <v>146</v>
      </c>
      <c r="BT4" t="str">
        <f>HYPERLINK("https%3A%2F%2Fwww.webofscience.com%2Fwos%2Fwoscc%2Ffull-record%2FWOS:000079069100005","View Full Record in Web of Science")</f>
        <v>View Full Record in Web of Science</v>
      </c>
    </row>
    <row r="5" spans="1:72" x14ac:dyDescent="0.15">
      <c r="A5" t="s">
        <v>147</v>
      </c>
      <c r="B5" t="s">
        <v>148</v>
      </c>
      <c r="C5" t="s">
        <v>74</v>
      </c>
      <c r="D5" t="s">
        <v>149</v>
      </c>
      <c r="E5" t="s">
        <v>74</v>
      </c>
      <c r="F5" t="s">
        <v>148</v>
      </c>
      <c r="G5" t="s">
        <v>74</v>
      </c>
      <c r="H5" t="s">
        <v>74</v>
      </c>
      <c r="I5" t="s">
        <v>150</v>
      </c>
      <c r="J5" t="s">
        <v>151</v>
      </c>
      <c r="K5" t="s">
        <v>152</v>
      </c>
      <c r="L5" t="s">
        <v>74</v>
      </c>
      <c r="M5" t="s">
        <v>77</v>
      </c>
      <c r="N5" t="s">
        <v>153</v>
      </c>
      <c r="O5" t="s">
        <v>154</v>
      </c>
      <c r="P5" t="s">
        <v>155</v>
      </c>
      <c r="Q5" t="s">
        <v>156</v>
      </c>
      <c r="R5" t="s">
        <v>74</v>
      </c>
      <c r="S5" t="s">
        <v>74</v>
      </c>
      <c r="T5" t="s">
        <v>157</v>
      </c>
      <c r="U5" t="s">
        <v>158</v>
      </c>
      <c r="V5" t="s">
        <v>159</v>
      </c>
      <c r="W5" t="s">
        <v>160</v>
      </c>
      <c r="X5" t="s">
        <v>161</v>
      </c>
      <c r="Y5" t="s">
        <v>162</v>
      </c>
      <c r="Z5" t="s">
        <v>74</v>
      </c>
      <c r="AA5" t="s">
        <v>74</v>
      </c>
      <c r="AB5" t="s">
        <v>74</v>
      </c>
      <c r="AC5" t="s">
        <v>74</v>
      </c>
      <c r="AD5" t="s">
        <v>74</v>
      </c>
      <c r="AE5" t="s">
        <v>74</v>
      </c>
      <c r="AF5" t="s">
        <v>74</v>
      </c>
      <c r="AG5">
        <v>17</v>
      </c>
      <c r="AH5">
        <v>0</v>
      </c>
      <c r="AI5">
        <v>0</v>
      </c>
      <c r="AJ5">
        <v>0</v>
      </c>
      <c r="AK5">
        <v>7</v>
      </c>
      <c r="AL5" t="s">
        <v>163</v>
      </c>
      <c r="AM5" t="s">
        <v>164</v>
      </c>
      <c r="AN5" t="s">
        <v>165</v>
      </c>
      <c r="AO5" t="s">
        <v>166</v>
      </c>
      <c r="AP5" t="s">
        <v>74</v>
      </c>
      <c r="AQ5" t="s">
        <v>167</v>
      </c>
      <c r="AR5" t="s">
        <v>168</v>
      </c>
      <c r="AS5" t="s">
        <v>74</v>
      </c>
      <c r="AT5" t="s">
        <v>74</v>
      </c>
      <c r="AU5">
        <v>1999</v>
      </c>
      <c r="AV5">
        <v>3608</v>
      </c>
      <c r="AW5" t="s">
        <v>74</v>
      </c>
      <c r="AX5" t="s">
        <v>74</v>
      </c>
      <c r="AY5" t="s">
        <v>74</v>
      </c>
      <c r="AZ5" t="s">
        <v>74</v>
      </c>
      <c r="BA5" t="s">
        <v>74</v>
      </c>
      <c r="BB5">
        <v>92</v>
      </c>
      <c r="BC5">
        <v>98</v>
      </c>
      <c r="BD5" t="s">
        <v>74</v>
      </c>
      <c r="BE5" t="s">
        <v>169</v>
      </c>
      <c r="BF5" t="str">
        <f>HYPERLINK("http://dx.doi.org/10.1117/12.345388","http://dx.doi.org/10.1117/12.345388")</f>
        <v>http://dx.doi.org/10.1117/12.345388</v>
      </c>
      <c r="BG5" t="s">
        <v>74</v>
      </c>
      <c r="BH5" t="s">
        <v>74</v>
      </c>
      <c r="BI5">
        <v>7</v>
      </c>
      <c r="BJ5" t="s">
        <v>170</v>
      </c>
      <c r="BK5" t="s">
        <v>171</v>
      </c>
      <c r="BL5" t="s">
        <v>172</v>
      </c>
      <c r="BM5" t="s">
        <v>173</v>
      </c>
      <c r="BN5" t="s">
        <v>74</v>
      </c>
      <c r="BO5" t="s">
        <v>74</v>
      </c>
      <c r="BP5" t="s">
        <v>74</v>
      </c>
      <c r="BQ5" t="s">
        <v>74</v>
      </c>
      <c r="BR5" t="s">
        <v>98</v>
      </c>
      <c r="BS5" t="s">
        <v>174</v>
      </c>
      <c r="BT5" t="str">
        <f>HYPERLINK("https%3A%2F%2Fwww.webofscience.com%2Fwos%2Fwoscc%2Ffull-record%2FWOS:000080521500013","View Full Record in Web of Science")</f>
        <v>View Full Record in Web of Science</v>
      </c>
    </row>
    <row r="6" spans="1:72" x14ac:dyDescent="0.15">
      <c r="A6" t="s">
        <v>72</v>
      </c>
      <c r="B6" t="s">
        <v>175</v>
      </c>
      <c r="C6" t="s">
        <v>74</v>
      </c>
      <c r="D6" t="s">
        <v>74</v>
      </c>
      <c r="E6" t="s">
        <v>74</v>
      </c>
      <c r="F6" t="s">
        <v>175</v>
      </c>
      <c r="G6" t="s">
        <v>74</v>
      </c>
      <c r="H6" t="s">
        <v>74</v>
      </c>
      <c r="I6" t="s">
        <v>176</v>
      </c>
      <c r="J6" t="s">
        <v>177</v>
      </c>
      <c r="K6" t="s">
        <v>74</v>
      </c>
      <c r="L6" t="s">
        <v>74</v>
      </c>
      <c r="M6" t="s">
        <v>77</v>
      </c>
      <c r="N6" t="s">
        <v>103</v>
      </c>
      <c r="O6" t="s">
        <v>74</v>
      </c>
      <c r="P6" t="s">
        <v>74</v>
      </c>
      <c r="Q6" t="s">
        <v>74</v>
      </c>
      <c r="R6" t="s">
        <v>74</v>
      </c>
      <c r="S6" t="s">
        <v>74</v>
      </c>
      <c r="T6" t="s">
        <v>178</v>
      </c>
      <c r="U6" t="s">
        <v>179</v>
      </c>
      <c r="V6" t="s">
        <v>180</v>
      </c>
      <c r="W6" t="s">
        <v>181</v>
      </c>
      <c r="X6" t="s">
        <v>182</v>
      </c>
      <c r="Y6" t="s">
        <v>183</v>
      </c>
      <c r="Z6" t="s">
        <v>74</v>
      </c>
      <c r="AA6" t="s">
        <v>184</v>
      </c>
      <c r="AB6" t="s">
        <v>185</v>
      </c>
      <c r="AC6" t="s">
        <v>74</v>
      </c>
      <c r="AD6" t="s">
        <v>74</v>
      </c>
      <c r="AE6" t="s">
        <v>74</v>
      </c>
      <c r="AF6" t="s">
        <v>74</v>
      </c>
      <c r="AG6">
        <v>50</v>
      </c>
      <c r="AH6">
        <v>19</v>
      </c>
      <c r="AI6">
        <v>20</v>
      </c>
      <c r="AJ6">
        <v>0</v>
      </c>
      <c r="AK6">
        <v>2</v>
      </c>
      <c r="AL6" t="s">
        <v>186</v>
      </c>
      <c r="AM6" t="s">
        <v>187</v>
      </c>
      <c r="AN6" t="s">
        <v>188</v>
      </c>
      <c r="AO6" t="s">
        <v>189</v>
      </c>
      <c r="AP6" t="s">
        <v>74</v>
      </c>
      <c r="AQ6" t="s">
        <v>74</v>
      </c>
      <c r="AR6" t="s">
        <v>190</v>
      </c>
      <c r="AS6" t="s">
        <v>191</v>
      </c>
      <c r="AT6" t="s">
        <v>74</v>
      </c>
      <c r="AU6">
        <v>1999</v>
      </c>
      <c r="AV6">
        <v>170</v>
      </c>
      <c r="AW6">
        <v>2</v>
      </c>
      <c r="AX6" t="s">
        <v>74</v>
      </c>
      <c r="AY6" t="s">
        <v>74</v>
      </c>
      <c r="AZ6" t="s">
        <v>74</v>
      </c>
      <c r="BA6" t="s">
        <v>74</v>
      </c>
      <c r="BB6">
        <v>189</v>
      </c>
      <c r="BC6">
        <v>194</v>
      </c>
      <c r="BD6" t="s">
        <v>74</v>
      </c>
      <c r="BE6" t="s">
        <v>74</v>
      </c>
      <c r="BF6" t="s">
        <v>74</v>
      </c>
      <c r="BG6" t="s">
        <v>74</v>
      </c>
      <c r="BH6" t="s">
        <v>74</v>
      </c>
      <c r="BI6">
        <v>6</v>
      </c>
      <c r="BJ6" t="s">
        <v>192</v>
      </c>
      <c r="BK6" t="s">
        <v>95</v>
      </c>
      <c r="BL6" t="s">
        <v>193</v>
      </c>
      <c r="BM6" t="s">
        <v>194</v>
      </c>
      <c r="BN6" t="s">
        <v>74</v>
      </c>
      <c r="BO6" t="s">
        <v>74</v>
      </c>
      <c r="BP6" t="s">
        <v>74</v>
      </c>
      <c r="BQ6" t="s">
        <v>74</v>
      </c>
      <c r="BR6" t="s">
        <v>98</v>
      </c>
      <c r="BS6" t="s">
        <v>195</v>
      </c>
      <c r="BT6" t="str">
        <f>HYPERLINK("https%3A%2F%2Fwww.webofscience.com%2Fwos%2Fwoscc%2Ffull-record%2FWOS:000080604500006","View Full Record in Web of Science")</f>
        <v>View Full Record in Web of Science</v>
      </c>
    </row>
    <row r="7" spans="1:72" x14ac:dyDescent="0.15">
      <c r="A7" t="s">
        <v>72</v>
      </c>
      <c r="B7" t="s">
        <v>196</v>
      </c>
      <c r="C7" t="s">
        <v>74</v>
      </c>
      <c r="D7" t="s">
        <v>74</v>
      </c>
      <c r="E7" t="s">
        <v>74</v>
      </c>
      <c r="F7" t="s">
        <v>196</v>
      </c>
      <c r="G7" t="s">
        <v>74</v>
      </c>
      <c r="H7" t="s">
        <v>74</v>
      </c>
      <c r="I7" t="s">
        <v>197</v>
      </c>
      <c r="J7" t="s">
        <v>198</v>
      </c>
      <c r="K7" t="s">
        <v>74</v>
      </c>
      <c r="L7" t="s">
        <v>74</v>
      </c>
      <c r="M7" t="s">
        <v>77</v>
      </c>
      <c r="N7" t="s">
        <v>103</v>
      </c>
      <c r="O7" t="s">
        <v>74</v>
      </c>
      <c r="P7" t="s">
        <v>74</v>
      </c>
      <c r="Q7" t="s">
        <v>74</v>
      </c>
      <c r="R7" t="s">
        <v>74</v>
      </c>
      <c r="S7" t="s">
        <v>74</v>
      </c>
      <c r="T7" t="s">
        <v>199</v>
      </c>
      <c r="U7" t="s">
        <v>200</v>
      </c>
      <c r="V7" t="s">
        <v>201</v>
      </c>
      <c r="W7" t="s">
        <v>202</v>
      </c>
      <c r="X7" t="s">
        <v>203</v>
      </c>
      <c r="Y7" t="s">
        <v>204</v>
      </c>
      <c r="Z7" t="s">
        <v>74</v>
      </c>
      <c r="AA7" t="s">
        <v>205</v>
      </c>
      <c r="AB7" t="s">
        <v>206</v>
      </c>
      <c r="AC7" t="s">
        <v>74</v>
      </c>
      <c r="AD7" t="s">
        <v>74</v>
      </c>
      <c r="AE7" t="s">
        <v>74</v>
      </c>
      <c r="AF7" t="s">
        <v>74</v>
      </c>
      <c r="AG7">
        <v>62</v>
      </c>
      <c r="AH7">
        <v>24</v>
      </c>
      <c r="AI7">
        <v>24</v>
      </c>
      <c r="AJ7">
        <v>0</v>
      </c>
      <c r="AK7">
        <v>5</v>
      </c>
      <c r="AL7" t="s">
        <v>198</v>
      </c>
      <c r="AM7" t="s">
        <v>207</v>
      </c>
      <c r="AN7" t="s">
        <v>208</v>
      </c>
      <c r="AO7" t="s">
        <v>209</v>
      </c>
      <c r="AP7" t="s">
        <v>74</v>
      </c>
      <c r="AQ7" t="s">
        <v>74</v>
      </c>
      <c r="AR7" t="s">
        <v>210</v>
      </c>
      <c r="AS7" t="s">
        <v>211</v>
      </c>
      <c r="AT7" t="s">
        <v>74</v>
      </c>
      <c r="AU7">
        <v>1999</v>
      </c>
      <c r="AV7">
        <v>40</v>
      </c>
      <c r="AW7">
        <v>4</v>
      </c>
      <c r="AX7" t="s">
        <v>74</v>
      </c>
      <c r="AY7" t="s">
        <v>74</v>
      </c>
      <c r="AZ7" t="s">
        <v>74</v>
      </c>
      <c r="BA7" t="s">
        <v>74</v>
      </c>
      <c r="BB7">
        <v>293</v>
      </c>
      <c r="BC7">
        <v>328</v>
      </c>
      <c r="BD7" t="s">
        <v>74</v>
      </c>
      <c r="BE7" t="s">
        <v>74</v>
      </c>
      <c r="BF7" t="s">
        <v>74</v>
      </c>
      <c r="BG7" t="s">
        <v>74</v>
      </c>
      <c r="BH7" t="s">
        <v>74</v>
      </c>
      <c r="BI7">
        <v>36</v>
      </c>
      <c r="BJ7" t="s">
        <v>212</v>
      </c>
      <c r="BK7" t="s">
        <v>95</v>
      </c>
      <c r="BL7" t="s">
        <v>212</v>
      </c>
      <c r="BM7" t="s">
        <v>213</v>
      </c>
      <c r="BN7" t="s">
        <v>74</v>
      </c>
      <c r="BO7" t="s">
        <v>74</v>
      </c>
      <c r="BP7" t="s">
        <v>74</v>
      </c>
      <c r="BQ7" t="s">
        <v>74</v>
      </c>
      <c r="BR7" t="s">
        <v>98</v>
      </c>
      <c r="BS7" t="s">
        <v>214</v>
      </c>
      <c r="BT7" t="str">
        <f>HYPERLINK("https%3A%2F%2Fwww.webofscience.com%2Fwos%2Fwoscc%2Ffull-record%2FWOS:000085095600002","View Full Record in Web of Science")</f>
        <v>View Full Record in Web of Science</v>
      </c>
    </row>
    <row r="8" spans="1:72" x14ac:dyDescent="0.15">
      <c r="A8" t="s">
        <v>215</v>
      </c>
      <c r="B8" t="s">
        <v>216</v>
      </c>
      <c r="C8" t="s">
        <v>74</v>
      </c>
      <c r="D8" t="s">
        <v>217</v>
      </c>
      <c r="E8" t="s">
        <v>74</v>
      </c>
      <c r="F8" t="s">
        <v>216</v>
      </c>
      <c r="G8" t="s">
        <v>74</v>
      </c>
      <c r="H8" t="s">
        <v>74</v>
      </c>
      <c r="I8" t="s">
        <v>218</v>
      </c>
      <c r="J8" t="s">
        <v>219</v>
      </c>
      <c r="K8" t="s">
        <v>220</v>
      </c>
      <c r="L8" t="s">
        <v>74</v>
      </c>
      <c r="M8" t="s">
        <v>77</v>
      </c>
      <c r="N8" t="s">
        <v>123</v>
      </c>
      <c r="O8" t="s">
        <v>221</v>
      </c>
      <c r="P8" t="s">
        <v>222</v>
      </c>
      <c r="Q8" t="s">
        <v>223</v>
      </c>
      <c r="R8" t="s">
        <v>74</v>
      </c>
      <c r="S8" t="s">
        <v>74</v>
      </c>
      <c r="T8" t="s">
        <v>74</v>
      </c>
      <c r="U8" t="s">
        <v>74</v>
      </c>
      <c r="V8" t="s">
        <v>224</v>
      </c>
      <c r="W8" t="s">
        <v>225</v>
      </c>
      <c r="X8" t="s">
        <v>226</v>
      </c>
      <c r="Y8" t="s">
        <v>227</v>
      </c>
      <c r="Z8" t="s">
        <v>74</v>
      </c>
      <c r="AA8" t="s">
        <v>74</v>
      </c>
      <c r="AB8" t="s">
        <v>74</v>
      </c>
      <c r="AC8" t="s">
        <v>74</v>
      </c>
      <c r="AD8" t="s">
        <v>74</v>
      </c>
      <c r="AE8" t="s">
        <v>74</v>
      </c>
      <c r="AF8" t="s">
        <v>74</v>
      </c>
      <c r="AG8">
        <v>12</v>
      </c>
      <c r="AH8">
        <v>19</v>
      </c>
      <c r="AI8">
        <v>19</v>
      </c>
      <c r="AJ8">
        <v>0</v>
      </c>
      <c r="AK8">
        <v>2</v>
      </c>
      <c r="AL8" t="s">
        <v>228</v>
      </c>
      <c r="AM8" t="s">
        <v>229</v>
      </c>
      <c r="AN8" t="s">
        <v>230</v>
      </c>
      <c r="AO8" t="s">
        <v>231</v>
      </c>
      <c r="AP8" t="s">
        <v>74</v>
      </c>
      <c r="AQ8" t="s">
        <v>74</v>
      </c>
      <c r="AR8" t="s">
        <v>232</v>
      </c>
      <c r="AS8" t="s">
        <v>74</v>
      </c>
      <c r="AT8" t="s">
        <v>74</v>
      </c>
      <c r="AU8">
        <v>1999</v>
      </c>
      <c r="AV8">
        <v>23</v>
      </c>
      <c r="AW8">
        <v>8</v>
      </c>
      <c r="AX8" t="s">
        <v>74</v>
      </c>
      <c r="AY8" t="s">
        <v>74</v>
      </c>
      <c r="AZ8" t="s">
        <v>74</v>
      </c>
      <c r="BA8" t="s">
        <v>74</v>
      </c>
      <c r="BB8">
        <v>1487</v>
      </c>
      <c r="BC8">
        <v>1496</v>
      </c>
      <c r="BD8" t="s">
        <v>74</v>
      </c>
      <c r="BE8" t="s">
        <v>233</v>
      </c>
      <c r="BF8" t="str">
        <f>HYPERLINK("http://dx.doi.org/10.1016/S0273-1177(99)00302-6","http://dx.doi.org/10.1016/S0273-1177(99)00302-6")</f>
        <v>http://dx.doi.org/10.1016/S0273-1177(99)00302-6</v>
      </c>
      <c r="BG8" t="s">
        <v>74</v>
      </c>
      <c r="BH8" t="s">
        <v>74</v>
      </c>
      <c r="BI8">
        <v>10</v>
      </c>
      <c r="BJ8" t="s">
        <v>234</v>
      </c>
      <c r="BK8" t="s">
        <v>235</v>
      </c>
      <c r="BL8" t="s">
        <v>236</v>
      </c>
      <c r="BM8" t="s">
        <v>237</v>
      </c>
      <c r="BN8" t="s">
        <v>74</v>
      </c>
      <c r="BO8" t="s">
        <v>74</v>
      </c>
      <c r="BP8" t="s">
        <v>74</v>
      </c>
      <c r="BQ8" t="s">
        <v>74</v>
      </c>
      <c r="BR8" t="s">
        <v>98</v>
      </c>
      <c r="BS8" t="s">
        <v>238</v>
      </c>
      <c r="BT8" t="str">
        <f>HYPERLINK("https%3A%2F%2Fwww.webofscience.com%2Fwos%2Fwoscc%2Ffull-record%2FWOS:000082288400021","View Full Record in Web of Science")</f>
        <v>View Full Record in Web of Science</v>
      </c>
    </row>
    <row r="9" spans="1:72" x14ac:dyDescent="0.15">
      <c r="A9" t="s">
        <v>215</v>
      </c>
      <c r="B9" t="s">
        <v>239</v>
      </c>
      <c r="C9" t="s">
        <v>74</v>
      </c>
      <c r="D9" t="s">
        <v>217</v>
      </c>
      <c r="E9" t="s">
        <v>74</v>
      </c>
      <c r="F9" t="s">
        <v>239</v>
      </c>
      <c r="G9" t="s">
        <v>74</v>
      </c>
      <c r="H9" t="s">
        <v>74</v>
      </c>
      <c r="I9" t="s">
        <v>240</v>
      </c>
      <c r="J9" t="s">
        <v>219</v>
      </c>
      <c r="K9" t="s">
        <v>220</v>
      </c>
      <c r="L9" t="s">
        <v>74</v>
      </c>
      <c r="M9" t="s">
        <v>77</v>
      </c>
      <c r="N9" t="s">
        <v>123</v>
      </c>
      <c r="O9" t="s">
        <v>221</v>
      </c>
      <c r="P9" t="s">
        <v>222</v>
      </c>
      <c r="Q9" t="s">
        <v>223</v>
      </c>
      <c r="R9" t="s">
        <v>74</v>
      </c>
      <c r="S9" t="s">
        <v>74</v>
      </c>
      <c r="T9" t="s">
        <v>74</v>
      </c>
      <c r="U9" t="s">
        <v>74</v>
      </c>
      <c r="V9" t="s">
        <v>241</v>
      </c>
      <c r="W9" t="s">
        <v>242</v>
      </c>
      <c r="X9" t="s">
        <v>243</v>
      </c>
      <c r="Y9" t="s">
        <v>244</v>
      </c>
      <c r="Z9" t="s">
        <v>74</v>
      </c>
      <c r="AA9" t="s">
        <v>74</v>
      </c>
      <c r="AB9" t="s">
        <v>74</v>
      </c>
      <c r="AC9" t="s">
        <v>74</v>
      </c>
      <c r="AD9" t="s">
        <v>74</v>
      </c>
      <c r="AE9" t="s">
        <v>74</v>
      </c>
      <c r="AF9" t="s">
        <v>74</v>
      </c>
      <c r="AG9">
        <v>4</v>
      </c>
      <c r="AH9">
        <v>0</v>
      </c>
      <c r="AI9">
        <v>0</v>
      </c>
      <c r="AJ9">
        <v>0</v>
      </c>
      <c r="AK9">
        <v>1</v>
      </c>
      <c r="AL9" t="s">
        <v>228</v>
      </c>
      <c r="AM9" t="s">
        <v>229</v>
      </c>
      <c r="AN9" t="s">
        <v>230</v>
      </c>
      <c r="AO9" t="s">
        <v>231</v>
      </c>
      <c r="AP9" t="s">
        <v>74</v>
      </c>
      <c r="AQ9" t="s">
        <v>74</v>
      </c>
      <c r="AR9" t="s">
        <v>232</v>
      </c>
      <c r="AS9" t="s">
        <v>74</v>
      </c>
      <c r="AT9" t="s">
        <v>74</v>
      </c>
      <c r="AU9">
        <v>1999</v>
      </c>
      <c r="AV9">
        <v>23</v>
      </c>
      <c r="AW9">
        <v>8</v>
      </c>
      <c r="AX9" t="s">
        <v>74</v>
      </c>
      <c r="AY9" t="s">
        <v>74</v>
      </c>
      <c r="AZ9" t="s">
        <v>74</v>
      </c>
      <c r="BA9" t="s">
        <v>74</v>
      </c>
      <c r="BB9">
        <v>1497</v>
      </c>
      <c r="BC9">
        <v>1503</v>
      </c>
      <c r="BD9" t="s">
        <v>74</v>
      </c>
      <c r="BE9" t="s">
        <v>245</v>
      </c>
      <c r="BF9" t="str">
        <f>HYPERLINK("http://dx.doi.org/10.1016/S0273-1177(99)00303-8","http://dx.doi.org/10.1016/S0273-1177(99)00303-8")</f>
        <v>http://dx.doi.org/10.1016/S0273-1177(99)00303-8</v>
      </c>
      <c r="BG9" t="s">
        <v>74</v>
      </c>
      <c r="BH9" t="s">
        <v>74</v>
      </c>
      <c r="BI9">
        <v>7</v>
      </c>
      <c r="BJ9" t="s">
        <v>234</v>
      </c>
      <c r="BK9" t="s">
        <v>235</v>
      </c>
      <c r="BL9" t="s">
        <v>236</v>
      </c>
      <c r="BM9" t="s">
        <v>237</v>
      </c>
      <c r="BN9" t="s">
        <v>74</v>
      </c>
      <c r="BO9" t="s">
        <v>74</v>
      </c>
      <c r="BP9" t="s">
        <v>74</v>
      </c>
      <c r="BQ9" t="s">
        <v>74</v>
      </c>
      <c r="BR9" t="s">
        <v>98</v>
      </c>
      <c r="BS9" t="s">
        <v>246</v>
      </c>
      <c r="BT9" t="str">
        <f>HYPERLINK("https%3A%2F%2Fwww.webofscience.com%2Fwos%2Fwoscc%2Ffull-record%2FWOS:000082288400022","View Full Record in Web of Science")</f>
        <v>View Full Record in Web of Science</v>
      </c>
    </row>
    <row r="10" spans="1:72" x14ac:dyDescent="0.15">
      <c r="A10" t="s">
        <v>72</v>
      </c>
      <c r="B10" t="s">
        <v>247</v>
      </c>
      <c r="C10" t="s">
        <v>74</v>
      </c>
      <c r="D10" t="s">
        <v>74</v>
      </c>
      <c r="E10" t="s">
        <v>74</v>
      </c>
      <c r="F10" t="s">
        <v>247</v>
      </c>
      <c r="G10" t="s">
        <v>74</v>
      </c>
      <c r="H10" t="s">
        <v>74</v>
      </c>
      <c r="I10" t="s">
        <v>248</v>
      </c>
      <c r="J10" t="s">
        <v>249</v>
      </c>
      <c r="K10" t="s">
        <v>74</v>
      </c>
      <c r="L10" t="s">
        <v>74</v>
      </c>
      <c r="M10" t="s">
        <v>77</v>
      </c>
      <c r="N10" t="s">
        <v>103</v>
      </c>
      <c r="O10" t="s">
        <v>74</v>
      </c>
      <c r="P10" t="s">
        <v>74</v>
      </c>
      <c r="Q10" t="s">
        <v>74</v>
      </c>
      <c r="R10" t="s">
        <v>74</v>
      </c>
      <c r="S10" t="s">
        <v>74</v>
      </c>
      <c r="T10" t="s">
        <v>74</v>
      </c>
      <c r="U10" t="s">
        <v>250</v>
      </c>
      <c r="V10" t="s">
        <v>251</v>
      </c>
      <c r="W10" t="s">
        <v>252</v>
      </c>
      <c r="X10" t="s">
        <v>253</v>
      </c>
      <c r="Y10" t="s">
        <v>254</v>
      </c>
      <c r="Z10" t="s">
        <v>74</v>
      </c>
      <c r="AA10" t="s">
        <v>255</v>
      </c>
      <c r="AB10" t="s">
        <v>74</v>
      </c>
      <c r="AC10" t="s">
        <v>74</v>
      </c>
      <c r="AD10" t="s">
        <v>74</v>
      </c>
      <c r="AE10" t="s">
        <v>74</v>
      </c>
      <c r="AF10" t="s">
        <v>74</v>
      </c>
      <c r="AG10">
        <v>62</v>
      </c>
      <c r="AH10">
        <v>117</v>
      </c>
      <c r="AI10">
        <v>131</v>
      </c>
      <c r="AJ10">
        <v>1</v>
      </c>
      <c r="AK10">
        <v>48</v>
      </c>
      <c r="AL10" t="s">
        <v>256</v>
      </c>
      <c r="AM10" t="s">
        <v>257</v>
      </c>
      <c r="AN10" t="s">
        <v>258</v>
      </c>
      <c r="AO10" t="s">
        <v>259</v>
      </c>
      <c r="AP10" t="s">
        <v>74</v>
      </c>
      <c r="AQ10" t="s">
        <v>74</v>
      </c>
      <c r="AR10" t="s">
        <v>260</v>
      </c>
      <c r="AS10" t="s">
        <v>261</v>
      </c>
      <c r="AT10" t="s">
        <v>143</v>
      </c>
      <c r="AU10">
        <v>1999</v>
      </c>
      <c r="AV10">
        <v>77</v>
      </c>
      <c r="AW10">
        <v>1</v>
      </c>
      <c r="AX10" t="s">
        <v>74</v>
      </c>
      <c r="AY10" t="s">
        <v>74</v>
      </c>
      <c r="AZ10" t="s">
        <v>74</v>
      </c>
      <c r="BA10" t="s">
        <v>74</v>
      </c>
      <c r="BB10">
        <v>74</v>
      </c>
      <c r="BC10">
        <v>87</v>
      </c>
      <c r="BD10" t="s">
        <v>74</v>
      </c>
      <c r="BE10" t="s">
        <v>262</v>
      </c>
      <c r="BF10" t="str">
        <f>HYPERLINK("http://dx.doi.org/10.1139/z98-199","http://dx.doi.org/10.1139/z98-199")</f>
        <v>http://dx.doi.org/10.1139/z98-199</v>
      </c>
      <c r="BG10" t="s">
        <v>74</v>
      </c>
      <c r="BH10" t="s">
        <v>74</v>
      </c>
      <c r="BI10">
        <v>14</v>
      </c>
      <c r="BJ10" t="s">
        <v>117</v>
      </c>
      <c r="BK10" t="s">
        <v>95</v>
      </c>
      <c r="BL10" t="s">
        <v>117</v>
      </c>
      <c r="BM10" t="s">
        <v>263</v>
      </c>
      <c r="BN10" t="s">
        <v>74</v>
      </c>
      <c r="BO10" t="s">
        <v>74</v>
      </c>
      <c r="BP10" t="s">
        <v>74</v>
      </c>
      <c r="BQ10" t="s">
        <v>74</v>
      </c>
      <c r="BR10" t="s">
        <v>98</v>
      </c>
      <c r="BS10" t="s">
        <v>264</v>
      </c>
      <c r="BT10" t="str">
        <f>HYPERLINK("https%3A%2F%2Fwww.webofscience.com%2Fwos%2Fwoscc%2Ffull-record%2FWOS:000081598800011","View Full Record in Web of Science")</f>
        <v>View Full Record in Web of Science</v>
      </c>
    </row>
    <row r="11" spans="1:72" x14ac:dyDescent="0.15">
      <c r="A11" t="s">
        <v>72</v>
      </c>
      <c r="B11" t="s">
        <v>265</v>
      </c>
      <c r="C11" t="s">
        <v>74</v>
      </c>
      <c r="D11" t="s">
        <v>74</v>
      </c>
      <c r="E11" t="s">
        <v>74</v>
      </c>
      <c r="F11" t="s">
        <v>265</v>
      </c>
      <c r="G11" t="s">
        <v>74</v>
      </c>
      <c r="H11" t="s">
        <v>74</v>
      </c>
      <c r="I11" t="s">
        <v>266</v>
      </c>
      <c r="J11" t="s">
        <v>267</v>
      </c>
      <c r="K11" t="s">
        <v>74</v>
      </c>
      <c r="L11" t="s">
        <v>74</v>
      </c>
      <c r="M11" t="s">
        <v>77</v>
      </c>
      <c r="N11" t="s">
        <v>103</v>
      </c>
      <c r="O11" t="s">
        <v>74</v>
      </c>
      <c r="P11" t="s">
        <v>74</v>
      </c>
      <c r="Q11" t="s">
        <v>74</v>
      </c>
      <c r="R11" t="s">
        <v>74</v>
      </c>
      <c r="S11" t="s">
        <v>74</v>
      </c>
      <c r="T11" t="s">
        <v>268</v>
      </c>
      <c r="U11" t="s">
        <v>269</v>
      </c>
      <c r="V11" t="s">
        <v>270</v>
      </c>
      <c r="W11" t="s">
        <v>271</v>
      </c>
      <c r="X11" t="s">
        <v>272</v>
      </c>
      <c r="Y11" t="s">
        <v>273</v>
      </c>
      <c r="Z11" t="s">
        <v>74</v>
      </c>
      <c r="AA11" t="s">
        <v>74</v>
      </c>
      <c r="AB11" t="s">
        <v>274</v>
      </c>
      <c r="AC11" t="s">
        <v>275</v>
      </c>
      <c r="AD11" t="s">
        <v>276</v>
      </c>
      <c r="AE11" t="s">
        <v>74</v>
      </c>
      <c r="AF11" t="s">
        <v>74</v>
      </c>
      <c r="AG11">
        <v>59</v>
      </c>
      <c r="AH11">
        <v>11</v>
      </c>
      <c r="AI11">
        <v>16</v>
      </c>
      <c r="AJ11">
        <v>0</v>
      </c>
      <c r="AK11">
        <v>3</v>
      </c>
      <c r="AL11" t="s">
        <v>277</v>
      </c>
      <c r="AM11" t="s">
        <v>278</v>
      </c>
      <c r="AN11" t="s">
        <v>279</v>
      </c>
      <c r="AO11" t="s">
        <v>280</v>
      </c>
      <c r="AP11" t="s">
        <v>74</v>
      </c>
      <c r="AQ11" t="s">
        <v>74</v>
      </c>
      <c r="AR11" t="s">
        <v>281</v>
      </c>
      <c r="AS11" t="s">
        <v>282</v>
      </c>
      <c r="AT11" t="s">
        <v>74</v>
      </c>
      <c r="AU11">
        <v>1999</v>
      </c>
      <c r="AV11">
        <v>42</v>
      </c>
      <c r="AW11">
        <v>4</v>
      </c>
      <c r="AX11" t="s">
        <v>74</v>
      </c>
      <c r="AY11" t="s">
        <v>74</v>
      </c>
      <c r="AZ11" t="s">
        <v>74</v>
      </c>
      <c r="BA11" t="s">
        <v>74</v>
      </c>
      <c r="BB11">
        <v>315</v>
      </c>
      <c r="BC11">
        <v>330</v>
      </c>
      <c r="BD11" t="s">
        <v>74</v>
      </c>
      <c r="BE11" t="s">
        <v>283</v>
      </c>
      <c r="BF11" t="str">
        <f>HYPERLINK("http://dx.doi.org/10.1002/(SICI)1097-0169(1999)42:4&lt;315::AID-CM5&gt;3.0.CO;2-C","http://dx.doi.org/10.1002/(SICI)1097-0169(1999)42:4&lt;315::AID-CM5&gt;3.0.CO;2-C")</f>
        <v>http://dx.doi.org/10.1002/(SICI)1097-0169(1999)42:4&lt;315::AID-CM5&gt;3.0.CO;2-C</v>
      </c>
      <c r="BG11" t="s">
        <v>74</v>
      </c>
      <c r="BH11" t="s">
        <v>74</v>
      </c>
      <c r="BI11">
        <v>16</v>
      </c>
      <c r="BJ11" t="s">
        <v>284</v>
      </c>
      <c r="BK11" t="s">
        <v>95</v>
      </c>
      <c r="BL11" t="s">
        <v>284</v>
      </c>
      <c r="BM11" t="s">
        <v>285</v>
      </c>
      <c r="BN11">
        <v>10223637</v>
      </c>
      <c r="BO11" t="s">
        <v>74</v>
      </c>
      <c r="BP11" t="s">
        <v>74</v>
      </c>
      <c r="BQ11" t="s">
        <v>74</v>
      </c>
      <c r="BR11" t="s">
        <v>98</v>
      </c>
      <c r="BS11" t="s">
        <v>286</v>
      </c>
      <c r="BT11" t="str">
        <f>HYPERLINK("https%3A%2F%2Fwww.webofscience.com%2Fwos%2Fwoscc%2Ffull-record%2FWOS:000079653300005","View Full Record in Web of Science")</f>
        <v>View Full Record in Web of Science</v>
      </c>
    </row>
    <row r="12" spans="1:72" x14ac:dyDescent="0.15">
      <c r="A12" t="s">
        <v>72</v>
      </c>
      <c r="B12" t="s">
        <v>287</v>
      </c>
      <c r="C12" t="s">
        <v>74</v>
      </c>
      <c r="D12" t="s">
        <v>74</v>
      </c>
      <c r="E12" t="s">
        <v>74</v>
      </c>
      <c r="F12" t="s">
        <v>287</v>
      </c>
      <c r="G12" t="s">
        <v>74</v>
      </c>
      <c r="H12" t="s">
        <v>74</v>
      </c>
      <c r="I12" t="s">
        <v>288</v>
      </c>
      <c r="J12" t="s">
        <v>289</v>
      </c>
      <c r="K12" t="s">
        <v>74</v>
      </c>
      <c r="L12" t="s">
        <v>74</v>
      </c>
      <c r="M12" t="s">
        <v>290</v>
      </c>
      <c r="N12" t="s">
        <v>103</v>
      </c>
      <c r="O12" t="s">
        <v>74</v>
      </c>
      <c r="P12" t="s">
        <v>74</v>
      </c>
      <c r="Q12" t="s">
        <v>74</v>
      </c>
      <c r="R12" t="s">
        <v>74</v>
      </c>
      <c r="S12" t="s">
        <v>74</v>
      </c>
      <c r="T12" t="s">
        <v>291</v>
      </c>
      <c r="U12" t="s">
        <v>292</v>
      </c>
      <c r="V12" t="s">
        <v>293</v>
      </c>
      <c r="W12" t="s">
        <v>294</v>
      </c>
      <c r="X12" t="s">
        <v>295</v>
      </c>
      <c r="Y12" t="s">
        <v>296</v>
      </c>
      <c r="Z12" t="s">
        <v>74</v>
      </c>
      <c r="AA12" t="s">
        <v>74</v>
      </c>
      <c r="AB12" t="s">
        <v>74</v>
      </c>
      <c r="AC12" t="s">
        <v>74</v>
      </c>
      <c r="AD12" t="s">
        <v>74</v>
      </c>
      <c r="AE12" t="s">
        <v>74</v>
      </c>
      <c r="AF12" t="s">
        <v>74</v>
      </c>
      <c r="AG12">
        <v>22</v>
      </c>
      <c r="AH12">
        <v>3</v>
      </c>
      <c r="AI12">
        <v>4</v>
      </c>
      <c r="AJ12">
        <v>0</v>
      </c>
      <c r="AK12">
        <v>1</v>
      </c>
      <c r="AL12" t="s">
        <v>297</v>
      </c>
      <c r="AM12" t="s">
        <v>298</v>
      </c>
      <c r="AN12" t="s">
        <v>299</v>
      </c>
      <c r="AO12" t="s">
        <v>300</v>
      </c>
      <c r="AP12" t="s">
        <v>74</v>
      </c>
      <c r="AQ12" t="s">
        <v>74</v>
      </c>
      <c r="AR12" t="s">
        <v>301</v>
      </c>
      <c r="AS12" t="s">
        <v>302</v>
      </c>
      <c r="AT12" t="s">
        <v>143</v>
      </c>
      <c r="AU12">
        <v>1999</v>
      </c>
      <c r="AV12">
        <v>42</v>
      </c>
      <c r="AW12">
        <v>1</v>
      </c>
      <c r="AX12" t="s">
        <v>74</v>
      </c>
      <c r="AY12" t="s">
        <v>74</v>
      </c>
      <c r="AZ12" t="s">
        <v>74</v>
      </c>
      <c r="BA12" t="s">
        <v>74</v>
      </c>
      <c r="BB12">
        <v>30</v>
      </c>
      <c r="BC12">
        <v>40</v>
      </c>
      <c r="BD12" t="s">
        <v>74</v>
      </c>
      <c r="BE12" t="s">
        <v>74</v>
      </c>
      <c r="BF12" t="s">
        <v>74</v>
      </c>
      <c r="BG12" t="s">
        <v>74</v>
      </c>
      <c r="BH12" t="s">
        <v>74</v>
      </c>
      <c r="BI12">
        <v>11</v>
      </c>
      <c r="BJ12" t="s">
        <v>303</v>
      </c>
      <c r="BK12" t="s">
        <v>95</v>
      </c>
      <c r="BL12" t="s">
        <v>303</v>
      </c>
      <c r="BM12" t="s">
        <v>304</v>
      </c>
      <c r="BN12" t="s">
        <v>74</v>
      </c>
      <c r="BO12" t="s">
        <v>74</v>
      </c>
      <c r="BP12" t="s">
        <v>74</v>
      </c>
      <c r="BQ12" t="s">
        <v>74</v>
      </c>
      <c r="BR12" t="s">
        <v>98</v>
      </c>
      <c r="BS12" t="s">
        <v>305</v>
      </c>
      <c r="BT12" t="str">
        <f>HYPERLINK("https%3A%2F%2Fwww.webofscience.com%2Fwos%2Fwoscc%2Ffull-record%2FWOS:000083223400004","View Full Record in Web of Science")</f>
        <v>View Full Record in Web of Science</v>
      </c>
    </row>
    <row r="13" spans="1:72" x14ac:dyDescent="0.15">
      <c r="A13" t="s">
        <v>147</v>
      </c>
      <c r="B13" t="s">
        <v>306</v>
      </c>
      <c r="C13" t="s">
        <v>74</v>
      </c>
      <c r="D13" t="s">
        <v>307</v>
      </c>
      <c r="E13" t="s">
        <v>74</v>
      </c>
      <c r="F13" t="s">
        <v>306</v>
      </c>
      <c r="G13" t="s">
        <v>74</v>
      </c>
      <c r="H13" t="s">
        <v>74</v>
      </c>
      <c r="I13" t="s">
        <v>308</v>
      </c>
      <c r="J13" t="s">
        <v>309</v>
      </c>
      <c r="K13" t="s">
        <v>74</v>
      </c>
      <c r="L13" t="s">
        <v>74</v>
      </c>
      <c r="M13" t="s">
        <v>77</v>
      </c>
      <c r="N13" t="s">
        <v>153</v>
      </c>
      <c r="O13" t="s">
        <v>310</v>
      </c>
      <c r="P13" t="s">
        <v>311</v>
      </c>
      <c r="Q13" t="s">
        <v>312</v>
      </c>
      <c r="R13" t="s">
        <v>74</v>
      </c>
      <c r="S13" t="s">
        <v>74</v>
      </c>
      <c r="T13" t="s">
        <v>74</v>
      </c>
      <c r="U13" t="s">
        <v>74</v>
      </c>
      <c r="V13" t="s">
        <v>313</v>
      </c>
      <c r="W13" t="s">
        <v>314</v>
      </c>
      <c r="X13" t="s">
        <v>315</v>
      </c>
      <c r="Y13" t="s">
        <v>316</v>
      </c>
      <c r="Z13" t="s">
        <v>74</v>
      </c>
      <c r="AA13" t="s">
        <v>74</v>
      </c>
      <c r="AB13" t="s">
        <v>74</v>
      </c>
      <c r="AC13" t="s">
        <v>74</v>
      </c>
      <c r="AD13" t="s">
        <v>74</v>
      </c>
      <c r="AE13" t="s">
        <v>74</v>
      </c>
      <c r="AF13" t="s">
        <v>74</v>
      </c>
      <c r="AG13">
        <v>8</v>
      </c>
      <c r="AH13">
        <v>0</v>
      </c>
      <c r="AI13">
        <v>0</v>
      </c>
      <c r="AJ13">
        <v>0</v>
      </c>
      <c r="AK13">
        <v>0</v>
      </c>
      <c r="AL13" t="s">
        <v>317</v>
      </c>
      <c r="AM13" t="s">
        <v>278</v>
      </c>
      <c r="AN13" t="s">
        <v>318</v>
      </c>
      <c r="AO13" t="s">
        <v>74</v>
      </c>
      <c r="AP13" t="s">
        <v>74</v>
      </c>
      <c r="AQ13" t="s">
        <v>319</v>
      </c>
      <c r="AR13" t="s">
        <v>74</v>
      </c>
      <c r="AS13" t="s">
        <v>74</v>
      </c>
      <c r="AT13" t="s">
        <v>74</v>
      </c>
      <c r="AU13">
        <v>1999</v>
      </c>
      <c r="AV13" t="s">
        <v>74</v>
      </c>
      <c r="AW13" t="s">
        <v>74</v>
      </c>
      <c r="AX13" t="s">
        <v>74</v>
      </c>
      <c r="AY13" t="s">
        <v>74</v>
      </c>
      <c r="AZ13" t="s">
        <v>74</v>
      </c>
      <c r="BA13" t="s">
        <v>74</v>
      </c>
      <c r="BB13">
        <v>1</v>
      </c>
      <c r="BC13">
        <v>10</v>
      </c>
      <c r="BD13" t="s">
        <v>74</v>
      </c>
      <c r="BE13" t="s">
        <v>74</v>
      </c>
      <c r="BF13" t="s">
        <v>74</v>
      </c>
      <c r="BG13" t="s">
        <v>74</v>
      </c>
      <c r="BH13" t="s">
        <v>74</v>
      </c>
      <c r="BI13">
        <v>10</v>
      </c>
      <c r="BJ13" t="s">
        <v>320</v>
      </c>
      <c r="BK13" t="s">
        <v>171</v>
      </c>
      <c r="BL13" t="s">
        <v>321</v>
      </c>
      <c r="BM13" t="s">
        <v>322</v>
      </c>
      <c r="BN13" t="s">
        <v>74</v>
      </c>
      <c r="BO13" t="s">
        <v>74</v>
      </c>
      <c r="BP13" t="s">
        <v>74</v>
      </c>
      <c r="BQ13" t="s">
        <v>74</v>
      </c>
      <c r="BR13" t="s">
        <v>98</v>
      </c>
      <c r="BS13" t="s">
        <v>323</v>
      </c>
      <c r="BT13" t="str">
        <f>HYPERLINK("https%3A%2F%2Fwww.webofscience.com%2Fwos%2Fwoscc%2Ffull-record%2FWOS:000086435800001","View Full Record in Web of Science")</f>
        <v>View Full Record in Web of Science</v>
      </c>
    </row>
    <row r="14" spans="1:72" x14ac:dyDescent="0.15">
      <c r="A14" t="s">
        <v>147</v>
      </c>
      <c r="B14" t="s">
        <v>324</v>
      </c>
      <c r="C14" t="s">
        <v>74</v>
      </c>
      <c r="D14" t="s">
        <v>307</v>
      </c>
      <c r="E14" t="s">
        <v>74</v>
      </c>
      <c r="F14" t="s">
        <v>324</v>
      </c>
      <c r="G14" t="s">
        <v>74</v>
      </c>
      <c r="H14" t="s">
        <v>74</v>
      </c>
      <c r="I14" t="s">
        <v>325</v>
      </c>
      <c r="J14" t="s">
        <v>309</v>
      </c>
      <c r="K14" t="s">
        <v>74</v>
      </c>
      <c r="L14" t="s">
        <v>74</v>
      </c>
      <c r="M14" t="s">
        <v>77</v>
      </c>
      <c r="N14" t="s">
        <v>153</v>
      </c>
      <c r="O14" t="s">
        <v>310</v>
      </c>
      <c r="P14" t="s">
        <v>311</v>
      </c>
      <c r="Q14" t="s">
        <v>312</v>
      </c>
      <c r="R14" t="s">
        <v>74</v>
      </c>
      <c r="S14" t="s">
        <v>74</v>
      </c>
      <c r="T14" t="s">
        <v>74</v>
      </c>
      <c r="U14" t="s">
        <v>74</v>
      </c>
      <c r="V14" t="s">
        <v>326</v>
      </c>
      <c r="W14" t="s">
        <v>314</v>
      </c>
      <c r="X14" t="s">
        <v>315</v>
      </c>
      <c r="Y14" t="s">
        <v>327</v>
      </c>
      <c r="Z14" t="s">
        <v>74</v>
      </c>
      <c r="AA14" t="s">
        <v>74</v>
      </c>
      <c r="AB14" t="s">
        <v>74</v>
      </c>
      <c r="AC14" t="s">
        <v>74</v>
      </c>
      <c r="AD14" t="s">
        <v>74</v>
      </c>
      <c r="AE14" t="s">
        <v>74</v>
      </c>
      <c r="AF14" t="s">
        <v>74</v>
      </c>
      <c r="AG14">
        <v>4</v>
      </c>
      <c r="AH14">
        <v>0</v>
      </c>
      <c r="AI14">
        <v>0</v>
      </c>
      <c r="AJ14">
        <v>0</v>
      </c>
      <c r="AK14">
        <v>0</v>
      </c>
      <c r="AL14" t="s">
        <v>317</v>
      </c>
      <c r="AM14" t="s">
        <v>278</v>
      </c>
      <c r="AN14" t="s">
        <v>318</v>
      </c>
      <c r="AO14" t="s">
        <v>74</v>
      </c>
      <c r="AP14" t="s">
        <v>74</v>
      </c>
      <c r="AQ14" t="s">
        <v>319</v>
      </c>
      <c r="AR14" t="s">
        <v>74</v>
      </c>
      <c r="AS14" t="s">
        <v>74</v>
      </c>
      <c r="AT14" t="s">
        <v>74</v>
      </c>
      <c r="AU14">
        <v>1999</v>
      </c>
      <c r="AV14" t="s">
        <v>74</v>
      </c>
      <c r="AW14" t="s">
        <v>74</v>
      </c>
      <c r="AX14" t="s">
        <v>74</v>
      </c>
      <c r="AY14" t="s">
        <v>74</v>
      </c>
      <c r="AZ14" t="s">
        <v>74</v>
      </c>
      <c r="BA14" t="s">
        <v>74</v>
      </c>
      <c r="BB14">
        <v>106</v>
      </c>
      <c r="BC14">
        <v>117</v>
      </c>
      <c r="BD14" t="s">
        <v>74</v>
      </c>
      <c r="BE14" t="s">
        <v>74</v>
      </c>
      <c r="BF14" t="s">
        <v>74</v>
      </c>
      <c r="BG14" t="s">
        <v>74</v>
      </c>
      <c r="BH14" t="s">
        <v>74</v>
      </c>
      <c r="BI14">
        <v>12</v>
      </c>
      <c r="BJ14" t="s">
        <v>320</v>
      </c>
      <c r="BK14" t="s">
        <v>171</v>
      </c>
      <c r="BL14" t="s">
        <v>321</v>
      </c>
      <c r="BM14" t="s">
        <v>322</v>
      </c>
      <c r="BN14" t="s">
        <v>74</v>
      </c>
      <c r="BO14" t="s">
        <v>74</v>
      </c>
      <c r="BP14" t="s">
        <v>74</v>
      </c>
      <c r="BQ14" t="s">
        <v>74</v>
      </c>
      <c r="BR14" t="s">
        <v>98</v>
      </c>
      <c r="BS14" t="s">
        <v>328</v>
      </c>
      <c r="BT14" t="str">
        <f>HYPERLINK("https%3A%2F%2Fwww.webofscience.com%2Fwos%2Fwoscc%2Ffull-record%2FWOS:000086435800010","View Full Record in Web of Science")</f>
        <v>View Full Record in Web of Science</v>
      </c>
    </row>
    <row r="15" spans="1:72" x14ac:dyDescent="0.15">
      <c r="A15" t="s">
        <v>147</v>
      </c>
      <c r="B15" t="s">
        <v>329</v>
      </c>
      <c r="C15" t="s">
        <v>74</v>
      </c>
      <c r="D15" t="s">
        <v>307</v>
      </c>
      <c r="E15" t="s">
        <v>74</v>
      </c>
      <c r="F15" t="s">
        <v>329</v>
      </c>
      <c r="G15" t="s">
        <v>74</v>
      </c>
      <c r="H15" t="s">
        <v>74</v>
      </c>
      <c r="I15" t="s">
        <v>330</v>
      </c>
      <c r="J15" t="s">
        <v>309</v>
      </c>
      <c r="K15" t="s">
        <v>74</v>
      </c>
      <c r="L15" t="s">
        <v>74</v>
      </c>
      <c r="M15" t="s">
        <v>77</v>
      </c>
      <c r="N15" t="s">
        <v>153</v>
      </c>
      <c r="O15" t="s">
        <v>310</v>
      </c>
      <c r="P15" t="s">
        <v>311</v>
      </c>
      <c r="Q15" t="s">
        <v>312</v>
      </c>
      <c r="R15" t="s">
        <v>74</v>
      </c>
      <c r="S15" t="s">
        <v>74</v>
      </c>
      <c r="T15" t="s">
        <v>74</v>
      </c>
      <c r="U15" t="s">
        <v>74</v>
      </c>
      <c r="V15" t="s">
        <v>331</v>
      </c>
      <c r="W15" t="s">
        <v>332</v>
      </c>
      <c r="X15" t="s">
        <v>74</v>
      </c>
      <c r="Y15" t="s">
        <v>333</v>
      </c>
      <c r="Z15" t="s">
        <v>74</v>
      </c>
      <c r="AA15" t="s">
        <v>74</v>
      </c>
      <c r="AB15" t="s">
        <v>74</v>
      </c>
      <c r="AC15" t="s">
        <v>74</v>
      </c>
      <c r="AD15" t="s">
        <v>74</v>
      </c>
      <c r="AE15" t="s">
        <v>74</v>
      </c>
      <c r="AF15" t="s">
        <v>74</v>
      </c>
      <c r="AG15">
        <v>1</v>
      </c>
      <c r="AH15">
        <v>0</v>
      </c>
      <c r="AI15">
        <v>0</v>
      </c>
      <c r="AJ15">
        <v>0</v>
      </c>
      <c r="AK15">
        <v>0</v>
      </c>
      <c r="AL15" t="s">
        <v>317</v>
      </c>
      <c r="AM15" t="s">
        <v>278</v>
      </c>
      <c r="AN15" t="s">
        <v>318</v>
      </c>
      <c r="AO15" t="s">
        <v>74</v>
      </c>
      <c r="AP15" t="s">
        <v>74</v>
      </c>
      <c r="AQ15" t="s">
        <v>319</v>
      </c>
      <c r="AR15" t="s">
        <v>74</v>
      </c>
      <c r="AS15" t="s">
        <v>74</v>
      </c>
      <c r="AT15" t="s">
        <v>74</v>
      </c>
      <c r="AU15">
        <v>1999</v>
      </c>
      <c r="AV15" t="s">
        <v>74</v>
      </c>
      <c r="AW15" t="s">
        <v>74</v>
      </c>
      <c r="AX15" t="s">
        <v>74</v>
      </c>
      <c r="AY15" t="s">
        <v>74</v>
      </c>
      <c r="AZ15" t="s">
        <v>74</v>
      </c>
      <c r="BA15" t="s">
        <v>74</v>
      </c>
      <c r="BB15">
        <v>130</v>
      </c>
      <c r="BC15">
        <v>139</v>
      </c>
      <c r="BD15" t="s">
        <v>74</v>
      </c>
      <c r="BE15" t="s">
        <v>74</v>
      </c>
      <c r="BF15" t="s">
        <v>74</v>
      </c>
      <c r="BG15" t="s">
        <v>74</v>
      </c>
      <c r="BH15" t="s">
        <v>74</v>
      </c>
      <c r="BI15">
        <v>10</v>
      </c>
      <c r="BJ15" t="s">
        <v>320</v>
      </c>
      <c r="BK15" t="s">
        <v>171</v>
      </c>
      <c r="BL15" t="s">
        <v>321</v>
      </c>
      <c r="BM15" t="s">
        <v>322</v>
      </c>
      <c r="BN15" t="s">
        <v>74</v>
      </c>
      <c r="BO15" t="s">
        <v>74</v>
      </c>
      <c r="BP15" t="s">
        <v>74</v>
      </c>
      <c r="BQ15" t="s">
        <v>74</v>
      </c>
      <c r="BR15" t="s">
        <v>98</v>
      </c>
      <c r="BS15" t="s">
        <v>334</v>
      </c>
      <c r="BT15" t="str">
        <f>HYPERLINK("https%3A%2F%2Fwww.webofscience.com%2Fwos%2Fwoscc%2Ffull-record%2FWOS:000086435800012","View Full Record in Web of Science")</f>
        <v>View Full Record in Web of Science</v>
      </c>
    </row>
    <row r="16" spans="1:72" x14ac:dyDescent="0.15">
      <c r="A16" t="s">
        <v>147</v>
      </c>
      <c r="B16" t="s">
        <v>335</v>
      </c>
      <c r="C16" t="s">
        <v>74</v>
      </c>
      <c r="D16" t="s">
        <v>307</v>
      </c>
      <c r="E16" t="s">
        <v>74</v>
      </c>
      <c r="F16" t="s">
        <v>335</v>
      </c>
      <c r="G16" t="s">
        <v>74</v>
      </c>
      <c r="H16" t="s">
        <v>74</v>
      </c>
      <c r="I16" t="s">
        <v>336</v>
      </c>
      <c r="J16" t="s">
        <v>309</v>
      </c>
      <c r="K16" t="s">
        <v>74</v>
      </c>
      <c r="L16" t="s">
        <v>74</v>
      </c>
      <c r="M16" t="s">
        <v>77</v>
      </c>
      <c r="N16" t="s">
        <v>153</v>
      </c>
      <c r="O16" t="s">
        <v>310</v>
      </c>
      <c r="P16" t="s">
        <v>311</v>
      </c>
      <c r="Q16" t="s">
        <v>312</v>
      </c>
      <c r="R16" t="s">
        <v>74</v>
      </c>
      <c r="S16" t="s">
        <v>74</v>
      </c>
      <c r="T16" t="s">
        <v>74</v>
      </c>
      <c r="U16" t="s">
        <v>74</v>
      </c>
      <c r="V16" t="s">
        <v>337</v>
      </c>
      <c r="W16" t="s">
        <v>338</v>
      </c>
      <c r="X16" t="s">
        <v>74</v>
      </c>
      <c r="Y16" t="s">
        <v>339</v>
      </c>
      <c r="Z16" t="s">
        <v>74</v>
      </c>
      <c r="AA16" t="s">
        <v>74</v>
      </c>
      <c r="AB16" t="s">
        <v>74</v>
      </c>
      <c r="AC16" t="s">
        <v>74</v>
      </c>
      <c r="AD16" t="s">
        <v>74</v>
      </c>
      <c r="AE16" t="s">
        <v>74</v>
      </c>
      <c r="AF16" t="s">
        <v>74</v>
      </c>
      <c r="AG16">
        <v>0</v>
      </c>
      <c r="AH16">
        <v>0</v>
      </c>
      <c r="AI16">
        <v>0</v>
      </c>
      <c r="AJ16">
        <v>0</v>
      </c>
      <c r="AK16">
        <v>0</v>
      </c>
      <c r="AL16" t="s">
        <v>317</v>
      </c>
      <c r="AM16" t="s">
        <v>278</v>
      </c>
      <c r="AN16" t="s">
        <v>318</v>
      </c>
      <c r="AO16" t="s">
        <v>74</v>
      </c>
      <c r="AP16" t="s">
        <v>74</v>
      </c>
      <c r="AQ16" t="s">
        <v>319</v>
      </c>
      <c r="AR16" t="s">
        <v>74</v>
      </c>
      <c r="AS16" t="s">
        <v>74</v>
      </c>
      <c r="AT16" t="s">
        <v>74</v>
      </c>
      <c r="AU16">
        <v>1999</v>
      </c>
      <c r="AV16" t="s">
        <v>74</v>
      </c>
      <c r="AW16" t="s">
        <v>74</v>
      </c>
      <c r="AX16" t="s">
        <v>74</v>
      </c>
      <c r="AY16" t="s">
        <v>74</v>
      </c>
      <c r="AZ16" t="s">
        <v>74</v>
      </c>
      <c r="BA16" t="s">
        <v>74</v>
      </c>
      <c r="BB16">
        <v>140</v>
      </c>
      <c r="BC16">
        <v>147</v>
      </c>
      <c r="BD16" t="s">
        <v>74</v>
      </c>
      <c r="BE16" t="s">
        <v>74</v>
      </c>
      <c r="BF16" t="s">
        <v>74</v>
      </c>
      <c r="BG16" t="s">
        <v>74</v>
      </c>
      <c r="BH16" t="s">
        <v>74</v>
      </c>
      <c r="BI16">
        <v>8</v>
      </c>
      <c r="BJ16" t="s">
        <v>320</v>
      </c>
      <c r="BK16" t="s">
        <v>171</v>
      </c>
      <c r="BL16" t="s">
        <v>321</v>
      </c>
      <c r="BM16" t="s">
        <v>322</v>
      </c>
      <c r="BN16" t="s">
        <v>74</v>
      </c>
      <c r="BO16" t="s">
        <v>74</v>
      </c>
      <c r="BP16" t="s">
        <v>74</v>
      </c>
      <c r="BQ16" t="s">
        <v>74</v>
      </c>
      <c r="BR16" t="s">
        <v>98</v>
      </c>
      <c r="BS16" t="s">
        <v>340</v>
      </c>
      <c r="BT16" t="str">
        <f>HYPERLINK("https%3A%2F%2Fwww.webofscience.com%2Fwos%2Fwoscc%2Ffull-record%2FWOS:000086435800013","View Full Record in Web of Science")</f>
        <v>View Full Record in Web of Science</v>
      </c>
    </row>
    <row r="17" spans="1:72" x14ac:dyDescent="0.15">
      <c r="A17" t="s">
        <v>147</v>
      </c>
      <c r="B17" t="s">
        <v>341</v>
      </c>
      <c r="C17" t="s">
        <v>74</v>
      </c>
      <c r="D17" t="s">
        <v>307</v>
      </c>
      <c r="E17" t="s">
        <v>74</v>
      </c>
      <c r="F17" t="s">
        <v>341</v>
      </c>
      <c r="G17" t="s">
        <v>74</v>
      </c>
      <c r="H17" t="s">
        <v>74</v>
      </c>
      <c r="I17" t="s">
        <v>342</v>
      </c>
      <c r="J17" t="s">
        <v>309</v>
      </c>
      <c r="K17" t="s">
        <v>74</v>
      </c>
      <c r="L17" t="s">
        <v>74</v>
      </c>
      <c r="M17" t="s">
        <v>77</v>
      </c>
      <c r="N17" t="s">
        <v>153</v>
      </c>
      <c r="O17" t="s">
        <v>310</v>
      </c>
      <c r="P17" t="s">
        <v>311</v>
      </c>
      <c r="Q17" t="s">
        <v>312</v>
      </c>
      <c r="R17" t="s">
        <v>74</v>
      </c>
      <c r="S17" t="s">
        <v>74</v>
      </c>
      <c r="T17" t="s">
        <v>74</v>
      </c>
      <c r="U17" t="s">
        <v>74</v>
      </c>
      <c r="V17" t="s">
        <v>343</v>
      </c>
      <c r="W17" t="s">
        <v>344</v>
      </c>
      <c r="X17" t="s">
        <v>74</v>
      </c>
      <c r="Y17" t="s">
        <v>345</v>
      </c>
      <c r="Z17" t="s">
        <v>74</v>
      </c>
      <c r="AA17" t="s">
        <v>74</v>
      </c>
      <c r="AB17" t="s">
        <v>74</v>
      </c>
      <c r="AC17" t="s">
        <v>74</v>
      </c>
      <c r="AD17" t="s">
        <v>74</v>
      </c>
      <c r="AE17" t="s">
        <v>74</v>
      </c>
      <c r="AF17" t="s">
        <v>74</v>
      </c>
      <c r="AG17">
        <v>0</v>
      </c>
      <c r="AH17">
        <v>0</v>
      </c>
      <c r="AI17">
        <v>0</v>
      </c>
      <c r="AJ17">
        <v>0</v>
      </c>
      <c r="AK17">
        <v>0</v>
      </c>
      <c r="AL17" t="s">
        <v>317</v>
      </c>
      <c r="AM17" t="s">
        <v>278</v>
      </c>
      <c r="AN17" t="s">
        <v>318</v>
      </c>
      <c r="AO17" t="s">
        <v>74</v>
      </c>
      <c r="AP17" t="s">
        <v>74</v>
      </c>
      <c r="AQ17" t="s">
        <v>319</v>
      </c>
      <c r="AR17" t="s">
        <v>74</v>
      </c>
      <c r="AS17" t="s">
        <v>74</v>
      </c>
      <c r="AT17" t="s">
        <v>74</v>
      </c>
      <c r="AU17">
        <v>1999</v>
      </c>
      <c r="AV17" t="s">
        <v>74</v>
      </c>
      <c r="AW17" t="s">
        <v>74</v>
      </c>
      <c r="AX17" t="s">
        <v>74</v>
      </c>
      <c r="AY17" t="s">
        <v>74</v>
      </c>
      <c r="AZ17" t="s">
        <v>74</v>
      </c>
      <c r="BA17" t="s">
        <v>74</v>
      </c>
      <c r="BB17">
        <v>148</v>
      </c>
      <c r="BC17">
        <v>159</v>
      </c>
      <c r="BD17" t="s">
        <v>74</v>
      </c>
      <c r="BE17" t="s">
        <v>74</v>
      </c>
      <c r="BF17" t="s">
        <v>74</v>
      </c>
      <c r="BG17" t="s">
        <v>74</v>
      </c>
      <c r="BH17" t="s">
        <v>74</v>
      </c>
      <c r="BI17">
        <v>12</v>
      </c>
      <c r="BJ17" t="s">
        <v>320</v>
      </c>
      <c r="BK17" t="s">
        <v>171</v>
      </c>
      <c r="BL17" t="s">
        <v>321</v>
      </c>
      <c r="BM17" t="s">
        <v>322</v>
      </c>
      <c r="BN17" t="s">
        <v>74</v>
      </c>
      <c r="BO17" t="s">
        <v>74</v>
      </c>
      <c r="BP17" t="s">
        <v>74</v>
      </c>
      <c r="BQ17" t="s">
        <v>74</v>
      </c>
      <c r="BR17" t="s">
        <v>98</v>
      </c>
      <c r="BS17" t="s">
        <v>346</v>
      </c>
      <c r="BT17" t="str">
        <f>HYPERLINK("https%3A%2F%2Fwww.webofscience.com%2Fwos%2Fwoscc%2Ffull-record%2FWOS:000086435800014","View Full Record in Web of Science")</f>
        <v>View Full Record in Web of Science</v>
      </c>
    </row>
    <row r="18" spans="1:72" x14ac:dyDescent="0.15">
      <c r="A18" t="s">
        <v>72</v>
      </c>
      <c r="B18" t="s">
        <v>347</v>
      </c>
      <c r="C18" t="s">
        <v>74</v>
      </c>
      <c r="D18" t="s">
        <v>74</v>
      </c>
      <c r="E18" t="s">
        <v>74</v>
      </c>
      <c r="F18" t="s">
        <v>347</v>
      </c>
      <c r="G18" t="s">
        <v>74</v>
      </c>
      <c r="H18" t="s">
        <v>74</v>
      </c>
      <c r="I18" t="s">
        <v>348</v>
      </c>
      <c r="J18" t="s">
        <v>349</v>
      </c>
      <c r="K18" t="s">
        <v>74</v>
      </c>
      <c r="L18" t="s">
        <v>74</v>
      </c>
      <c r="M18" t="s">
        <v>77</v>
      </c>
      <c r="N18" t="s">
        <v>103</v>
      </c>
      <c r="O18" t="s">
        <v>74</v>
      </c>
      <c r="P18" t="s">
        <v>74</v>
      </c>
      <c r="Q18" t="s">
        <v>74</v>
      </c>
      <c r="R18" t="s">
        <v>74</v>
      </c>
      <c r="S18" t="s">
        <v>74</v>
      </c>
      <c r="T18" t="s">
        <v>350</v>
      </c>
      <c r="U18" t="s">
        <v>351</v>
      </c>
      <c r="V18" t="s">
        <v>352</v>
      </c>
      <c r="W18" t="s">
        <v>353</v>
      </c>
      <c r="X18" t="s">
        <v>354</v>
      </c>
      <c r="Y18" t="s">
        <v>355</v>
      </c>
      <c r="Z18" t="s">
        <v>74</v>
      </c>
      <c r="AA18" t="s">
        <v>356</v>
      </c>
      <c r="AB18" t="s">
        <v>357</v>
      </c>
      <c r="AC18" t="s">
        <v>74</v>
      </c>
      <c r="AD18" t="s">
        <v>74</v>
      </c>
      <c r="AE18" t="s">
        <v>74</v>
      </c>
      <c r="AF18" t="s">
        <v>74</v>
      </c>
      <c r="AG18">
        <v>55</v>
      </c>
      <c r="AH18">
        <v>19</v>
      </c>
      <c r="AI18">
        <v>19</v>
      </c>
      <c r="AJ18">
        <v>0</v>
      </c>
      <c r="AK18">
        <v>2</v>
      </c>
      <c r="AL18" t="s">
        <v>358</v>
      </c>
      <c r="AM18" t="s">
        <v>359</v>
      </c>
      <c r="AN18" t="s">
        <v>360</v>
      </c>
      <c r="AO18" t="s">
        <v>361</v>
      </c>
      <c r="AP18" t="s">
        <v>74</v>
      </c>
      <c r="AQ18" t="s">
        <v>74</v>
      </c>
      <c r="AR18" t="s">
        <v>362</v>
      </c>
      <c r="AS18" t="s">
        <v>363</v>
      </c>
      <c r="AT18" t="s">
        <v>74</v>
      </c>
      <c r="AU18">
        <v>1999</v>
      </c>
      <c r="AV18">
        <v>68</v>
      </c>
      <c r="AW18">
        <v>2</v>
      </c>
      <c r="AX18" t="s">
        <v>74</v>
      </c>
      <c r="AY18" t="s">
        <v>74</v>
      </c>
      <c r="AZ18" t="s">
        <v>74</v>
      </c>
      <c r="BA18" t="s">
        <v>74</v>
      </c>
      <c r="BB18">
        <v>83</v>
      </c>
      <c r="BC18">
        <v>93</v>
      </c>
      <c r="BD18" t="s">
        <v>74</v>
      </c>
      <c r="BE18" t="s">
        <v>74</v>
      </c>
      <c r="BF18" t="s">
        <v>74</v>
      </c>
      <c r="BG18" t="s">
        <v>74</v>
      </c>
      <c r="BH18" t="s">
        <v>74</v>
      </c>
      <c r="BI18">
        <v>11</v>
      </c>
      <c r="BJ18" t="s">
        <v>117</v>
      </c>
      <c r="BK18" t="s">
        <v>95</v>
      </c>
      <c r="BL18" t="s">
        <v>117</v>
      </c>
      <c r="BM18" t="s">
        <v>364</v>
      </c>
      <c r="BN18" t="s">
        <v>74</v>
      </c>
      <c r="BO18" t="s">
        <v>74</v>
      </c>
      <c r="BP18" t="s">
        <v>74</v>
      </c>
      <c r="BQ18" t="s">
        <v>74</v>
      </c>
      <c r="BR18" t="s">
        <v>98</v>
      </c>
      <c r="BS18" t="s">
        <v>365</v>
      </c>
      <c r="BT18" t="str">
        <f>HYPERLINK("https%3A%2F%2Fwww.webofscience.com%2Fwos%2Fwoscc%2Ffull-record%2FWOS:000080519300002","View Full Record in Web of Science")</f>
        <v>View Full Record in Web of Science</v>
      </c>
    </row>
    <row r="19" spans="1:72" x14ac:dyDescent="0.15">
      <c r="A19" t="s">
        <v>72</v>
      </c>
      <c r="B19" t="s">
        <v>366</v>
      </c>
      <c r="C19" t="s">
        <v>74</v>
      </c>
      <c r="D19" t="s">
        <v>74</v>
      </c>
      <c r="E19" t="s">
        <v>74</v>
      </c>
      <c r="F19" t="s">
        <v>366</v>
      </c>
      <c r="G19" t="s">
        <v>74</v>
      </c>
      <c r="H19" t="s">
        <v>74</v>
      </c>
      <c r="I19" t="s">
        <v>367</v>
      </c>
      <c r="J19" t="s">
        <v>368</v>
      </c>
      <c r="K19" t="s">
        <v>74</v>
      </c>
      <c r="L19" t="s">
        <v>74</v>
      </c>
      <c r="M19" t="s">
        <v>77</v>
      </c>
      <c r="N19" t="s">
        <v>103</v>
      </c>
      <c r="O19" t="s">
        <v>74</v>
      </c>
      <c r="P19" t="s">
        <v>74</v>
      </c>
      <c r="Q19" t="s">
        <v>74</v>
      </c>
      <c r="R19" t="s">
        <v>74</v>
      </c>
      <c r="S19" t="s">
        <v>74</v>
      </c>
      <c r="T19" t="s">
        <v>369</v>
      </c>
      <c r="U19" t="s">
        <v>74</v>
      </c>
      <c r="V19" t="s">
        <v>370</v>
      </c>
      <c r="W19" t="s">
        <v>371</v>
      </c>
      <c r="X19" t="s">
        <v>372</v>
      </c>
      <c r="Y19" t="s">
        <v>373</v>
      </c>
      <c r="Z19" t="s">
        <v>74</v>
      </c>
      <c r="AA19" t="s">
        <v>74</v>
      </c>
      <c r="AB19" t="s">
        <v>374</v>
      </c>
      <c r="AC19" t="s">
        <v>74</v>
      </c>
      <c r="AD19" t="s">
        <v>74</v>
      </c>
      <c r="AE19" t="s">
        <v>74</v>
      </c>
      <c r="AF19" t="s">
        <v>74</v>
      </c>
      <c r="AG19">
        <v>12</v>
      </c>
      <c r="AH19">
        <v>8</v>
      </c>
      <c r="AI19">
        <v>9</v>
      </c>
      <c r="AJ19">
        <v>0</v>
      </c>
      <c r="AK19">
        <v>0</v>
      </c>
      <c r="AL19" t="s">
        <v>375</v>
      </c>
      <c r="AM19" t="s">
        <v>376</v>
      </c>
      <c r="AN19" t="s">
        <v>377</v>
      </c>
      <c r="AO19" t="s">
        <v>378</v>
      </c>
      <c r="AP19" t="s">
        <v>74</v>
      </c>
      <c r="AQ19" t="s">
        <v>74</v>
      </c>
      <c r="AR19" t="s">
        <v>379</v>
      </c>
      <c r="AS19" t="s">
        <v>380</v>
      </c>
      <c r="AT19" t="s">
        <v>74</v>
      </c>
      <c r="AU19">
        <v>1999</v>
      </c>
      <c r="AV19">
        <v>20</v>
      </c>
      <c r="AW19">
        <v>1</v>
      </c>
      <c r="AX19" t="s">
        <v>74</v>
      </c>
      <c r="AY19" t="s">
        <v>74</v>
      </c>
      <c r="AZ19" t="s">
        <v>74</v>
      </c>
      <c r="BA19" t="s">
        <v>74</v>
      </c>
      <c r="BB19">
        <v>5</v>
      </c>
      <c r="BC19">
        <v>10</v>
      </c>
      <c r="BD19" t="s">
        <v>74</v>
      </c>
      <c r="BE19" t="s">
        <v>381</v>
      </c>
      <c r="BF19" t="str">
        <f>HYPERLINK("http://dx.doi.org/10.1016/S1290-0796(99)80002-9","http://dx.doi.org/10.1016/S1290-0796(99)80002-9")</f>
        <v>http://dx.doi.org/10.1016/S1290-0796(99)80002-9</v>
      </c>
      <c r="BG19" t="s">
        <v>74</v>
      </c>
      <c r="BH19" t="s">
        <v>74</v>
      </c>
      <c r="BI19">
        <v>6</v>
      </c>
      <c r="BJ19" t="s">
        <v>382</v>
      </c>
      <c r="BK19" t="s">
        <v>95</v>
      </c>
      <c r="BL19" t="s">
        <v>382</v>
      </c>
      <c r="BM19" t="s">
        <v>383</v>
      </c>
      <c r="BN19" t="s">
        <v>74</v>
      </c>
      <c r="BO19" t="s">
        <v>74</v>
      </c>
      <c r="BP19" t="s">
        <v>74</v>
      </c>
      <c r="BQ19" t="s">
        <v>74</v>
      </c>
      <c r="BR19" t="s">
        <v>98</v>
      </c>
      <c r="BS19" t="s">
        <v>384</v>
      </c>
      <c r="BT19" t="str">
        <f>HYPERLINK("https%3A%2F%2Fwww.webofscience.com%2Fwos%2Fwoscc%2Ffull-record%2FWOS:000080529700001","View Full Record in Web of Science")</f>
        <v>View Full Record in Web of Science</v>
      </c>
    </row>
    <row r="20" spans="1:72" x14ac:dyDescent="0.15">
      <c r="A20" t="s">
        <v>72</v>
      </c>
      <c r="B20" t="s">
        <v>385</v>
      </c>
      <c r="C20" t="s">
        <v>74</v>
      </c>
      <c r="D20" t="s">
        <v>74</v>
      </c>
      <c r="E20" t="s">
        <v>74</v>
      </c>
      <c r="F20" t="s">
        <v>385</v>
      </c>
      <c r="G20" t="s">
        <v>74</v>
      </c>
      <c r="H20" t="s">
        <v>74</v>
      </c>
      <c r="I20" t="s">
        <v>386</v>
      </c>
      <c r="J20" t="s">
        <v>387</v>
      </c>
      <c r="K20" t="s">
        <v>74</v>
      </c>
      <c r="L20" t="s">
        <v>74</v>
      </c>
      <c r="M20" t="s">
        <v>77</v>
      </c>
      <c r="N20" t="s">
        <v>103</v>
      </c>
      <c r="O20" t="s">
        <v>74</v>
      </c>
      <c r="P20" t="s">
        <v>74</v>
      </c>
      <c r="Q20" t="s">
        <v>74</v>
      </c>
      <c r="R20" t="s">
        <v>74</v>
      </c>
      <c r="S20" t="s">
        <v>74</v>
      </c>
      <c r="T20" t="s">
        <v>388</v>
      </c>
      <c r="U20" t="s">
        <v>389</v>
      </c>
      <c r="V20" t="s">
        <v>390</v>
      </c>
      <c r="W20" t="s">
        <v>391</v>
      </c>
      <c r="X20" t="s">
        <v>392</v>
      </c>
      <c r="Y20" t="s">
        <v>393</v>
      </c>
      <c r="Z20" t="s">
        <v>74</v>
      </c>
      <c r="AA20" t="s">
        <v>74</v>
      </c>
      <c r="AB20" t="s">
        <v>74</v>
      </c>
      <c r="AC20" t="s">
        <v>74</v>
      </c>
      <c r="AD20" t="s">
        <v>74</v>
      </c>
      <c r="AE20" t="s">
        <v>74</v>
      </c>
      <c r="AF20" t="s">
        <v>74</v>
      </c>
      <c r="AG20">
        <v>20</v>
      </c>
      <c r="AH20">
        <v>2</v>
      </c>
      <c r="AI20">
        <v>2</v>
      </c>
      <c r="AJ20">
        <v>0</v>
      </c>
      <c r="AK20">
        <v>1</v>
      </c>
      <c r="AL20" t="s">
        <v>394</v>
      </c>
      <c r="AM20" t="s">
        <v>395</v>
      </c>
      <c r="AN20" t="s">
        <v>396</v>
      </c>
      <c r="AO20" t="s">
        <v>397</v>
      </c>
      <c r="AP20" t="s">
        <v>74</v>
      </c>
      <c r="AQ20" t="s">
        <v>74</v>
      </c>
      <c r="AR20" t="s">
        <v>387</v>
      </c>
      <c r="AS20" t="s">
        <v>398</v>
      </c>
      <c r="AT20" t="s">
        <v>74</v>
      </c>
      <c r="AU20">
        <v>1999</v>
      </c>
      <c r="AV20">
        <v>99</v>
      </c>
      <c r="AW20">
        <v>390</v>
      </c>
      <c r="AX20" t="s">
        <v>74</v>
      </c>
      <c r="AY20" t="s">
        <v>74</v>
      </c>
      <c r="AZ20" t="s">
        <v>74</v>
      </c>
      <c r="BA20" t="s">
        <v>74</v>
      </c>
      <c r="BB20">
        <v>7</v>
      </c>
      <c r="BC20">
        <v>17</v>
      </c>
      <c r="BD20" t="s">
        <v>74</v>
      </c>
      <c r="BE20" t="s">
        <v>74</v>
      </c>
      <c r="BF20" t="s">
        <v>74</v>
      </c>
      <c r="BG20" t="s">
        <v>74</v>
      </c>
      <c r="BH20" t="s">
        <v>74</v>
      </c>
      <c r="BI20">
        <v>11</v>
      </c>
      <c r="BJ20" t="s">
        <v>284</v>
      </c>
      <c r="BK20" t="s">
        <v>95</v>
      </c>
      <c r="BL20" t="s">
        <v>284</v>
      </c>
      <c r="BM20" t="s">
        <v>399</v>
      </c>
      <c r="BN20" t="s">
        <v>74</v>
      </c>
      <c r="BO20" t="s">
        <v>74</v>
      </c>
      <c r="BP20" t="s">
        <v>74</v>
      </c>
      <c r="BQ20" t="s">
        <v>74</v>
      </c>
      <c r="BR20" t="s">
        <v>98</v>
      </c>
      <c r="BS20" t="s">
        <v>400</v>
      </c>
      <c r="BT20" t="str">
        <f>HYPERLINK("https%3A%2F%2Fwww.webofscience.com%2Fwos%2Fwoscc%2Ffull-record%2FWOS:000084163500001","View Full Record in Web of Science")</f>
        <v>View Full Record in Web of Science</v>
      </c>
    </row>
    <row r="21" spans="1:72" x14ac:dyDescent="0.15">
      <c r="A21" t="s">
        <v>72</v>
      </c>
      <c r="B21" t="s">
        <v>401</v>
      </c>
      <c r="C21" t="s">
        <v>74</v>
      </c>
      <c r="D21" t="s">
        <v>74</v>
      </c>
      <c r="E21" t="s">
        <v>74</v>
      </c>
      <c r="F21" t="s">
        <v>401</v>
      </c>
      <c r="G21" t="s">
        <v>74</v>
      </c>
      <c r="H21" t="s">
        <v>74</v>
      </c>
      <c r="I21" t="s">
        <v>402</v>
      </c>
      <c r="J21" t="s">
        <v>403</v>
      </c>
      <c r="K21" t="s">
        <v>74</v>
      </c>
      <c r="L21" t="s">
        <v>74</v>
      </c>
      <c r="M21" t="s">
        <v>77</v>
      </c>
      <c r="N21" t="s">
        <v>52</v>
      </c>
      <c r="O21" t="s">
        <v>74</v>
      </c>
      <c r="P21" t="s">
        <v>74</v>
      </c>
      <c r="Q21" t="s">
        <v>74</v>
      </c>
      <c r="R21" t="s">
        <v>74</v>
      </c>
      <c r="S21" t="s">
        <v>74</v>
      </c>
      <c r="T21" t="s">
        <v>74</v>
      </c>
      <c r="U21" t="s">
        <v>74</v>
      </c>
      <c r="V21" t="s">
        <v>74</v>
      </c>
      <c r="W21" t="s">
        <v>404</v>
      </c>
      <c r="X21" t="s">
        <v>405</v>
      </c>
      <c r="Y21" t="s">
        <v>74</v>
      </c>
      <c r="Z21" t="s">
        <v>74</v>
      </c>
      <c r="AA21" t="s">
        <v>74</v>
      </c>
      <c r="AB21" t="s">
        <v>74</v>
      </c>
      <c r="AC21" t="s">
        <v>74</v>
      </c>
      <c r="AD21" t="s">
        <v>74</v>
      </c>
      <c r="AE21" t="s">
        <v>74</v>
      </c>
      <c r="AF21" t="s">
        <v>74</v>
      </c>
      <c r="AG21">
        <v>0</v>
      </c>
      <c r="AH21">
        <v>4</v>
      </c>
      <c r="AI21">
        <v>4</v>
      </c>
      <c r="AJ21">
        <v>0</v>
      </c>
      <c r="AK21">
        <v>0</v>
      </c>
      <c r="AL21" t="s">
        <v>406</v>
      </c>
      <c r="AM21" t="s">
        <v>407</v>
      </c>
      <c r="AN21" t="s">
        <v>408</v>
      </c>
      <c r="AO21" t="s">
        <v>409</v>
      </c>
      <c r="AP21" t="s">
        <v>74</v>
      </c>
      <c r="AQ21" t="s">
        <v>74</v>
      </c>
      <c r="AR21" t="s">
        <v>410</v>
      </c>
      <c r="AS21" t="s">
        <v>411</v>
      </c>
      <c r="AT21" t="s">
        <v>74</v>
      </c>
      <c r="AU21">
        <v>1999</v>
      </c>
      <c r="AV21">
        <v>85</v>
      </c>
      <c r="AW21" t="s">
        <v>412</v>
      </c>
      <c r="AX21" t="s">
        <v>74</v>
      </c>
      <c r="AY21" t="s">
        <v>74</v>
      </c>
      <c r="AZ21" t="s">
        <v>74</v>
      </c>
      <c r="BA21" t="s">
        <v>413</v>
      </c>
      <c r="BB21">
        <v>95</v>
      </c>
      <c r="BC21">
        <v>95</v>
      </c>
      <c r="BD21" t="s">
        <v>74</v>
      </c>
      <c r="BE21" t="s">
        <v>74</v>
      </c>
      <c r="BF21" t="s">
        <v>74</v>
      </c>
      <c r="BG21" t="s">
        <v>74</v>
      </c>
      <c r="BH21" t="s">
        <v>74</v>
      </c>
      <c r="BI21">
        <v>1</v>
      </c>
      <c r="BJ21" t="s">
        <v>414</v>
      </c>
      <c r="BK21" t="s">
        <v>95</v>
      </c>
      <c r="BL21" t="s">
        <v>414</v>
      </c>
      <c r="BM21" t="s">
        <v>415</v>
      </c>
      <c r="BN21" t="s">
        <v>74</v>
      </c>
      <c r="BO21" t="s">
        <v>74</v>
      </c>
      <c r="BP21" t="s">
        <v>74</v>
      </c>
      <c r="BQ21" t="s">
        <v>74</v>
      </c>
      <c r="BR21" t="s">
        <v>98</v>
      </c>
      <c r="BS21" t="s">
        <v>416</v>
      </c>
      <c r="BT21" t="str">
        <f>HYPERLINK("https%3A%2F%2Fwww.webofscience.com%2Fwos%2Fwoscc%2Ffull-record%2FWOS:000081334900379","View Full Record in Web of Science")</f>
        <v>View Full Record in Web of Science</v>
      </c>
    </row>
    <row r="22" spans="1:72" x14ac:dyDescent="0.15">
      <c r="A22" t="s">
        <v>147</v>
      </c>
      <c r="B22" t="s">
        <v>417</v>
      </c>
      <c r="C22" t="s">
        <v>74</v>
      </c>
      <c r="D22" t="s">
        <v>418</v>
      </c>
      <c r="E22" t="s">
        <v>74</v>
      </c>
      <c r="F22" t="s">
        <v>417</v>
      </c>
      <c r="G22" t="s">
        <v>74</v>
      </c>
      <c r="H22" t="s">
        <v>74</v>
      </c>
      <c r="I22" t="s">
        <v>419</v>
      </c>
      <c r="J22" t="s">
        <v>420</v>
      </c>
      <c r="K22" t="s">
        <v>421</v>
      </c>
      <c r="L22" t="s">
        <v>74</v>
      </c>
      <c r="M22" t="s">
        <v>77</v>
      </c>
      <c r="N22" t="s">
        <v>153</v>
      </c>
      <c r="O22" t="s">
        <v>422</v>
      </c>
      <c r="P22" t="s">
        <v>423</v>
      </c>
      <c r="Q22" t="s">
        <v>424</v>
      </c>
      <c r="R22" t="s">
        <v>74</v>
      </c>
      <c r="S22" t="s">
        <v>74</v>
      </c>
      <c r="T22" t="s">
        <v>74</v>
      </c>
      <c r="U22" t="s">
        <v>74</v>
      </c>
      <c r="V22" t="s">
        <v>425</v>
      </c>
      <c r="W22" t="s">
        <v>426</v>
      </c>
      <c r="X22" t="s">
        <v>427</v>
      </c>
      <c r="Y22" t="s">
        <v>428</v>
      </c>
      <c r="Z22" t="s">
        <v>74</v>
      </c>
      <c r="AA22" t="s">
        <v>74</v>
      </c>
      <c r="AB22" t="s">
        <v>74</v>
      </c>
      <c r="AC22" t="s">
        <v>74</v>
      </c>
      <c r="AD22" t="s">
        <v>74</v>
      </c>
      <c r="AE22" t="s">
        <v>74</v>
      </c>
      <c r="AF22" t="s">
        <v>74</v>
      </c>
      <c r="AG22">
        <v>10</v>
      </c>
      <c r="AH22">
        <v>0</v>
      </c>
      <c r="AI22">
        <v>0</v>
      </c>
      <c r="AJ22">
        <v>0</v>
      </c>
      <c r="AK22">
        <v>1</v>
      </c>
      <c r="AL22" t="s">
        <v>429</v>
      </c>
      <c r="AM22" t="s">
        <v>187</v>
      </c>
      <c r="AN22" t="s">
        <v>430</v>
      </c>
      <c r="AO22" t="s">
        <v>431</v>
      </c>
      <c r="AP22" t="s">
        <v>74</v>
      </c>
      <c r="AQ22" t="s">
        <v>432</v>
      </c>
      <c r="AR22" t="s">
        <v>433</v>
      </c>
      <c r="AS22" t="s">
        <v>74</v>
      </c>
      <c r="AT22" t="s">
        <v>74</v>
      </c>
      <c r="AU22">
        <v>1999</v>
      </c>
      <c r="AV22">
        <v>447</v>
      </c>
      <c r="AW22" t="s">
        <v>74</v>
      </c>
      <c r="AX22" t="s">
        <v>74</v>
      </c>
      <c r="AY22" t="s">
        <v>74</v>
      </c>
      <c r="AZ22" t="s">
        <v>74</v>
      </c>
      <c r="BA22" t="s">
        <v>74</v>
      </c>
      <c r="BB22">
        <v>491</v>
      </c>
      <c r="BC22">
        <v>496</v>
      </c>
      <c r="BD22" t="s">
        <v>74</v>
      </c>
      <c r="BE22" t="s">
        <v>74</v>
      </c>
      <c r="BF22" t="s">
        <v>74</v>
      </c>
      <c r="BG22" t="s">
        <v>74</v>
      </c>
      <c r="BH22" t="s">
        <v>74</v>
      </c>
      <c r="BI22">
        <v>4</v>
      </c>
      <c r="BJ22" t="s">
        <v>434</v>
      </c>
      <c r="BK22" t="s">
        <v>171</v>
      </c>
      <c r="BL22" t="s">
        <v>321</v>
      </c>
      <c r="BM22" t="s">
        <v>435</v>
      </c>
      <c r="BN22" t="s">
        <v>74</v>
      </c>
      <c r="BO22" t="s">
        <v>74</v>
      </c>
      <c r="BP22" t="s">
        <v>74</v>
      </c>
      <c r="BQ22" t="s">
        <v>74</v>
      </c>
      <c r="BR22" t="s">
        <v>98</v>
      </c>
      <c r="BS22" t="s">
        <v>436</v>
      </c>
      <c r="BT22" t="str">
        <f>HYPERLINK("https%3A%2F%2Fwww.webofscience.com%2Fwos%2Fwoscc%2Ffull-record%2FWOS:000082950600068","View Full Record in Web of Science")</f>
        <v>View Full Record in Web of Science</v>
      </c>
    </row>
    <row r="23" spans="1:72" x14ac:dyDescent="0.15">
      <c r="A23" t="s">
        <v>72</v>
      </c>
      <c r="B23" t="s">
        <v>437</v>
      </c>
      <c r="C23" t="s">
        <v>74</v>
      </c>
      <c r="D23" t="s">
        <v>74</v>
      </c>
      <c r="E23" t="s">
        <v>74</v>
      </c>
      <c r="F23" t="s">
        <v>437</v>
      </c>
      <c r="G23" t="s">
        <v>74</v>
      </c>
      <c r="H23" t="s">
        <v>74</v>
      </c>
      <c r="I23" t="s">
        <v>438</v>
      </c>
      <c r="J23" t="s">
        <v>439</v>
      </c>
      <c r="K23" t="s">
        <v>74</v>
      </c>
      <c r="L23" t="s">
        <v>74</v>
      </c>
      <c r="M23" t="s">
        <v>77</v>
      </c>
      <c r="N23" t="s">
        <v>103</v>
      </c>
      <c r="O23" t="s">
        <v>74</v>
      </c>
      <c r="P23" t="s">
        <v>74</v>
      </c>
      <c r="Q23" t="s">
        <v>74</v>
      </c>
      <c r="R23" t="s">
        <v>74</v>
      </c>
      <c r="S23" t="s">
        <v>74</v>
      </c>
      <c r="T23" t="s">
        <v>74</v>
      </c>
      <c r="U23" t="s">
        <v>440</v>
      </c>
      <c r="V23" t="s">
        <v>441</v>
      </c>
      <c r="W23" t="s">
        <v>442</v>
      </c>
      <c r="X23" t="s">
        <v>443</v>
      </c>
      <c r="Y23" t="s">
        <v>444</v>
      </c>
      <c r="Z23" t="s">
        <v>74</v>
      </c>
      <c r="AA23" t="s">
        <v>74</v>
      </c>
      <c r="AB23" t="s">
        <v>74</v>
      </c>
      <c r="AC23" t="s">
        <v>74</v>
      </c>
      <c r="AD23" t="s">
        <v>74</v>
      </c>
      <c r="AE23" t="s">
        <v>74</v>
      </c>
      <c r="AF23" t="s">
        <v>74</v>
      </c>
      <c r="AG23">
        <v>29</v>
      </c>
      <c r="AH23">
        <v>50</v>
      </c>
      <c r="AI23">
        <v>51</v>
      </c>
      <c r="AJ23">
        <v>0</v>
      </c>
      <c r="AK23">
        <v>9</v>
      </c>
      <c r="AL23" t="s">
        <v>445</v>
      </c>
      <c r="AM23" t="s">
        <v>229</v>
      </c>
      <c r="AN23" t="s">
        <v>446</v>
      </c>
      <c r="AO23" t="s">
        <v>447</v>
      </c>
      <c r="AP23" t="s">
        <v>74</v>
      </c>
      <c r="AQ23" t="s">
        <v>74</v>
      </c>
      <c r="AR23" t="s">
        <v>448</v>
      </c>
      <c r="AS23" t="s">
        <v>449</v>
      </c>
      <c r="AT23" t="s">
        <v>74</v>
      </c>
      <c r="AU23">
        <v>1999</v>
      </c>
      <c r="AV23">
        <v>46</v>
      </c>
      <c r="AW23" t="s">
        <v>412</v>
      </c>
      <c r="AX23" t="s">
        <v>74</v>
      </c>
      <c r="AY23" t="s">
        <v>74</v>
      </c>
      <c r="AZ23" t="s">
        <v>74</v>
      </c>
      <c r="BA23" t="s">
        <v>74</v>
      </c>
      <c r="BB23">
        <v>245</v>
      </c>
      <c r="BC23">
        <v>278</v>
      </c>
      <c r="BD23" t="s">
        <v>74</v>
      </c>
      <c r="BE23" t="s">
        <v>450</v>
      </c>
      <c r="BF23" t="str">
        <f>HYPERLINK("http://dx.doi.org/10.1016/S0967-0645(98)00102-7","http://dx.doi.org/10.1016/S0967-0645(98)00102-7")</f>
        <v>http://dx.doi.org/10.1016/S0967-0645(98)00102-7</v>
      </c>
      <c r="BG23" t="s">
        <v>74</v>
      </c>
      <c r="BH23" t="s">
        <v>74</v>
      </c>
      <c r="BI23">
        <v>34</v>
      </c>
      <c r="BJ23" t="s">
        <v>451</v>
      </c>
      <c r="BK23" t="s">
        <v>95</v>
      </c>
      <c r="BL23" t="s">
        <v>451</v>
      </c>
      <c r="BM23" t="s">
        <v>452</v>
      </c>
      <c r="BN23" t="s">
        <v>74</v>
      </c>
      <c r="BO23" t="s">
        <v>74</v>
      </c>
      <c r="BP23" t="s">
        <v>74</v>
      </c>
      <c r="BQ23" t="s">
        <v>74</v>
      </c>
      <c r="BR23" t="s">
        <v>98</v>
      </c>
      <c r="BS23" t="s">
        <v>453</v>
      </c>
      <c r="BT23" t="str">
        <f>HYPERLINK("https%3A%2F%2Fwww.webofscience.com%2Fwos%2Fwoscc%2Ffull-record%2FWOS:000079477500012","View Full Record in Web of Science")</f>
        <v>View Full Record in Web of Science</v>
      </c>
    </row>
    <row r="24" spans="1:72" x14ac:dyDescent="0.15">
      <c r="A24" t="s">
        <v>72</v>
      </c>
      <c r="B24" t="s">
        <v>454</v>
      </c>
      <c r="C24" t="s">
        <v>74</v>
      </c>
      <c r="D24" t="s">
        <v>74</v>
      </c>
      <c r="E24" t="s">
        <v>74</v>
      </c>
      <c r="F24" t="s">
        <v>454</v>
      </c>
      <c r="G24" t="s">
        <v>74</v>
      </c>
      <c r="H24" t="s">
        <v>74</v>
      </c>
      <c r="I24" t="s">
        <v>455</v>
      </c>
      <c r="J24" t="s">
        <v>439</v>
      </c>
      <c r="K24" t="s">
        <v>74</v>
      </c>
      <c r="L24" t="s">
        <v>74</v>
      </c>
      <c r="M24" t="s">
        <v>77</v>
      </c>
      <c r="N24" t="s">
        <v>103</v>
      </c>
      <c r="O24" t="s">
        <v>74</v>
      </c>
      <c r="P24" t="s">
        <v>74</v>
      </c>
      <c r="Q24" t="s">
        <v>74</v>
      </c>
      <c r="R24" t="s">
        <v>74</v>
      </c>
      <c r="S24" t="s">
        <v>74</v>
      </c>
      <c r="T24" t="s">
        <v>74</v>
      </c>
      <c r="U24" t="s">
        <v>456</v>
      </c>
      <c r="V24" t="s">
        <v>457</v>
      </c>
      <c r="W24" t="s">
        <v>458</v>
      </c>
      <c r="X24" t="s">
        <v>459</v>
      </c>
      <c r="Y24" t="s">
        <v>460</v>
      </c>
      <c r="Z24" t="s">
        <v>74</v>
      </c>
      <c r="AA24" t="s">
        <v>74</v>
      </c>
      <c r="AB24" t="s">
        <v>461</v>
      </c>
      <c r="AC24" t="s">
        <v>74</v>
      </c>
      <c r="AD24" t="s">
        <v>74</v>
      </c>
      <c r="AE24" t="s">
        <v>74</v>
      </c>
      <c r="AF24" t="s">
        <v>74</v>
      </c>
      <c r="AG24">
        <v>63</v>
      </c>
      <c r="AH24">
        <v>297</v>
      </c>
      <c r="AI24">
        <v>311</v>
      </c>
      <c r="AJ24">
        <v>0</v>
      </c>
      <c r="AK24">
        <v>45</v>
      </c>
      <c r="AL24" t="s">
        <v>445</v>
      </c>
      <c r="AM24" t="s">
        <v>229</v>
      </c>
      <c r="AN24" t="s">
        <v>446</v>
      </c>
      <c r="AO24" t="s">
        <v>447</v>
      </c>
      <c r="AP24" t="s">
        <v>74</v>
      </c>
      <c r="AQ24" t="s">
        <v>74</v>
      </c>
      <c r="AR24" t="s">
        <v>448</v>
      </c>
      <c r="AS24" t="s">
        <v>449</v>
      </c>
      <c r="AT24" t="s">
        <v>74</v>
      </c>
      <c r="AU24">
        <v>1999</v>
      </c>
      <c r="AV24">
        <v>46</v>
      </c>
      <c r="AW24" t="s">
        <v>412</v>
      </c>
      <c r="AX24" t="s">
        <v>74</v>
      </c>
      <c r="AY24" t="s">
        <v>74</v>
      </c>
      <c r="AZ24" t="s">
        <v>74</v>
      </c>
      <c r="BA24" t="s">
        <v>74</v>
      </c>
      <c r="BB24">
        <v>279</v>
      </c>
      <c r="BC24">
        <v>303</v>
      </c>
      <c r="BD24" t="s">
        <v>74</v>
      </c>
      <c r="BE24" t="s">
        <v>462</v>
      </c>
      <c r="BF24" t="str">
        <f>HYPERLINK("http://dx.doi.org/10.1016/S0967-0645(98)00109-X","http://dx.doi.org/10.1016/S0967-0645(98)00109-X")</f>
        <v>http://dx.doi.org/10.1016/S0967-0645(98)00109-X</v>
      </c>
      <c r="BG24" t="s">
        <v>74</v>
      </c>
      <c r="BH24" t="s">
        <v>74</v>
      </c>
      <c r="BI24">
        <v>25</v>
      </c>
      <c r="BJ24" t="s">
        <v>451</v>
      </c>
      <c r="BK24" t="s">
        <v>95</v>
      </c>
      <c r="BL24" t="s">
        <v>451</v>
      </c>
      <c r="BM24" t="s">
        <v>452</v>
      </c>
      <c r="BN24" t="s">
        <v>74</v>
      </c>
      <c r="BO24" t="s">
        <v>74</v>
      </c>
      <c r="BP24" t="s">
        <v>74</v>
      </c>
      <c r="BQ24" t="s">
        <v>74</v>
      </c>
      <c r="BR24" t="s">
        <v>98</v>
      </c>
      <c r="BS24" t="s">
        <v>463</v>
      </c>
      <c r="BT24" t="str">
        <f>HYPERLINK("https%3A%2F%2Fwww.webofscience.com%2Fwos%2Fwoscc%2Ffull-record%2FWOS:000079477500013","View Full Record in Web of Science")</f>
        <v>View Full Record in Web of Science</v>
      </c>
    </row>
    <row r="25" spans="1:72" x14ac:dyDescent="0.15">
      <c r="A25" t="s">
        <v>72</v>
      </c>
      <c r="B25" t="s">
        <v>464</v>
      </c>
      <c r="C25" t="s">
        <v>74</v>
      </c>
      <c r="D25" t="s">
        <v>74</v>
      </c>
      <c r="E25" t="s">
        <v>74</v>
      </c>
      <c r="F25" t="s">
        <v>464</v>
      </c>
      <c r="G25" t="s">
        <v>74</v>
      </c>
      <c r="H25" t="s">
        <v>74</v>
      </c>
      <c r="I25" t="s">
        <v>465</v>
      </c>
      <c r="J25" t="s">
        <v>439</v>
      </c>
      <c r="K25" t="s">
        <v>74</v>
      </c>
      <c r="L25" t="s">
        <v>74</v>
      </c>
      <c r="M25" t="s">
        <v>77</v>
      </c>
      <c r="N25" t="s">
        <v>103</v>
      </c>
      <c r="O25" t="s">
        <v>74</v>
      </c>
      <c r="P25" t="s">
        <v>74</v>
      </c>
      <c r="Q25" t="s">
        <v>74</v>
      </c>
      <c r="R25" t="s">
        <v>74</v>
      </c>
      <c r="S25" t="s">
        <v>74</v>
      </c>
      <c r="T25" t="s">
        <v>74</v>
      </c>
      <c r="U25" t="s">
        <v>466</v>
      </c>
      <c r="V25" t="s">
        <v>467</v>
      </c>
      <c r="W25" t="s">
        <v>442</v>
      </c>
      <c r="X25" t="s">
        <v>443</v>
      </c>
      <c r="Y25" t="s">
        <v>468</v>
      </c>
      <c r="Z25" t="s">
        <v>469</v>
      </c>
      <c r="AA25" t="s">
        <v>74</v>
      </c>
      <c r="AB25" t="s">
        <v>74</v>
      </c>
      <c r="AC25" t="s">
        <v>74</v>
      </c>
      <c r="AD25" t="s">
        <v>74</v>
      </c>
      <c r="AE25" t="s">
        <v>74</v>
      </c>
      <c r="AF25" t="s">
        <v>74</v>
      </c>
      <c r="AG25">
        <v>30</v>
      </c>
      <c r="AH25">
        <v>107</v>
      </c>
      <c r="AI25">
        <v>110</v>
      </c>
      <c r="AJ25">
        <v>0</v>
      </c>
      <c r="AK25">
        <v>13</v>
      </c>
      <c r="AL25" t="s">
        <v>445</v>
      </c>
      <c r="AM25" t="s">
        <v>229</v>
      </c>
      <c r="AN25" t="s">
        <v>446</v>
      </c>
      <c r="AO25" t="s">
        <v>447</v>
      </c>
      <c r="AP25" t="s">
        <v>470</v>
      </c>
      <c r="AQ25" t="s">
        <v>74</v>
      </c>
      <c r="AR25" t="s">
        <v>448</v>
      </c>
      <c r="AS25" t="s">
        <v>449</v>
      </c>
      <c r="AT25" t="s">
        <v>74</v>
      </c>
      <c r="AU25">
        <v>1999</v>
      </c>
      <c r="AV25">
        <v>46</v>
      </c>
      <c r="AW25" t="s">
        <v>412</v>
      </c>
      <c r="AX25" t="s">
        <v>74</v>
      </c>
      <c r="AY25" t="s">
        <v>74</v>
      </c>
      <c r="AZ25" t="s">
        <v>74</v>
      </c>
      <c r="BA25" t="s">
        <v>74</v>
      </c>
      <c r="BB25">
        <v>335</v>
      </c>
      <c r="BC25">
        <v>353</v>
      </c>
      <c r="BD25" t="s">
        <v>74</v>
      </c>
      <c r="BE25" t="s">
        <v>471</v>
      </c>
      <c r="BF25" t="str">
        <f>HYPERLINK("http://dx.doi.org/10.1016/S0967-0645(98)00097-6","http://dx.doi.org/10.1016/S0967-0645(98)00097-6")</f>
        <v>http://dx.doi.org/10.1016/S0967-0645(98)00097-6</v>
      </c>
      <c r="BG25" t="s">
        <v>74</v>
      </c>
      <c r="BH25" t="s">
        <v>74</v>
      </c>
      <c r="BI25">
        <v>19</v>
      </c>
      <c r="BJ25" t="s">
        <v>451</v>
      </c>
      <c r="BK25" t="s">
        <v>95</v>
      </c>
      <c r="BL25" t="s">
        <v>451</v>
      </c>
      <c r="BM25" t="s">
        <v>452</v>
      </c>
      <c r="BN25" t="s">
        <v>74</v>
      </c>
      <c r="BO25" t="s">
        <v>74</v>
      </c>
      <c r="BP25" t="s">
        <v>74</v>
      </c>
      <c r="BQ25" t="s">
        <v>74</v>
      </c>
      <c r="BR25" t="s">
        <v>98</v>
      </c>
      <c r="BS25" t="s">
        <v>472</v>
      </c>
      <c r="BT25" t="str">
        <f>HYPERLINK("https%3A%2F%2Fwww.webofscience.com%2Fwos%2Fwoscc%2Ffull-record%2FWOS:000079477500015","View Full Record in Web of Science")</f>
        <v>View Full Record in Web of Science</v>
      </c>
    </row>
    <row r="26" spans="1:72" x14ac:dyDescent="0.15">
      <c r="A26" t="s">
        <v>72</v>
      </c>
      <c r="B26" t="s">
        <v>473</v>
      </c>
      <c r="C26" t="s">
        <v>74</v>
      </c>
      <c r="D26" t="s">
        <v>74</v>
      </c>
      <c r="E26" t="s">
        <v>74</v>
      </c>
      <c r="F26" t="s">
        <v>473</v>
      </c>
      <c r="G26" t="s">
        <v>74</v>
      </c>
      <c r="H26" t="s">
        <v>74</v>
      </c>
      <c r="I26" t="s">
        <v>474</v>
      </c>
      <c r="J26" t="s">
        <v>439</v>
      </c>
      <c r="K26" t="s">
        <v>74</v>
      </c>
      <c r="L26" t="s">
        <v>74</v>
      </c>
      <c r="M26" t="s">
        <v>77</v>
      </c>
      <c r="N26" t="s">
        <v>103</v>
      </c>
      <c r="O26" t="s">
        <v>74</v>
      </c>
      <c r="P26" t="s">
        <v>74</v>
      </c>
      <c r="Q26" t="s">
        <v>74</v>
      </c>
      <c r="R26" t="s">
        <v>74</v>
      </c>
      <c r="S26" t="s">
        <v>74</v>
      </c>
      <c r="T26" t="s">
        <v>74</v>
      </c>
      <c r="U26" t="s">
        <v>475</v>
      </c>
      <c r="V26" t="s">
        <v>476</v>
      </c>
      <c r="W26" t="s">
        <v>477</v>
      </c>
      <c r="X26" t="s">
        <v>478</v>
      </c>
      <c r="Y26" t="s">
        <v>479</v>
      </c>
      <c r="Z26" t="s">
        <v>480</v>
      </c>
      <c r="AA26" t="s">
        <v>481</v>
      </c>
      <c r="AB26" t="s">
        <v>74</v>
      </c>
      <c r="AC26" t="s">
        <v>74</v>
      </c>
      <c r="AD26" t="s">
        <v>74</v>
      </c>
      <c r="AE26" t="s">
        <v>74</v>
      </c>
      <c r="AF26" t="s">
        <v>74</v>
      </c>
      <c r="AG26">
        <v>55</v>
      </c>
      <c r="AH26">
        <v>38</v>
      </c>
      <c r="AI26">
        <v>39</v>
      </c>
      <c r="AJ26">
        <v>0</v>
      </c>
      <c r="AK26">
        <v>9</v>
      </c>
      <c r="AL26" t="s">
        <v>445</v>
      </c>
      <c r="AM26" t="s">
        <v>229</v>
      </c>
      <c r="AN26" t="s">
        <v>446</v>
      </c>
      <c r="AO26" t="s">
        <v>447</v>
      </c>
      <c r="AP26" t="s">
        <v>74</v>
      </c>
      <c r="AQ26" t="s">
        <v>74</v>
      </c>
      <c r="AR26" t="s">
        <v>448</v>
      </c>
      <c r="AS26" t="s">
        <v>449</v>
      </c>
      <c r="AT26" t="s">
        <v>74</v>
      </c>
      <c r="AU26">
        <v>1999</v>
      </c>
      <c r="AV26">
        <v>46</v>
      </c>
      <c r="AW26" t="s">
        <v>412</v>
      </c>
      <c r="AX26" t="s">
        <v>74</v>
      </c>
      <c r="AY26" t="s">
        <v>74</v>
      </c>
      <c r="AZ26" t="s">
        <v>74</v>
      </c>
      <c r="BA26" t="s">
        <v>74</v>
      </c>
      <c r="BB26">
        <v>355</v>
      </c>
      <c r="BC26">
        <v>392</v>
      </c>
      <c r="BD26" t="s">
        <v>74</v>
      </c>
      <c r="BE26" t="s">
        <v>482</v>
      </c>
      <c r="BF26" t="str">
        <f>HYPERLINK("http://dx.doi.org/10.1016/S0967-0645(98)00104-0","http://dx.doi.org/10.1016/S0967-0645(98)00104-0")</f>
        <v>http://dx.doi.org/10.1016/S0967-0645(98)00104-0</v>
      </c>
      <c r="BG26" t="s">
        <v>74</v>
      </c>
      <c r="BH26" t="s">
        <v>74</v>
      </c>
      <c r="BI26">
        <v>38</v>
      </c>
      <c r="BJ26" t="s">
        <v>451</v>
      </c>
      <c r="BK26" t="s">
        <v>95</v>
      </c>
      <c r="BL26" t="s">
        <v>451</v>
      </c>
      <c r="BM26" t="s">
        <v>452</v>
      </c>
      <c r="BN26" t="s">
        <v>74</v>
      </c>
      <c r="BO26" t="s">
        <v>483</v>
      </c>
      <c r="BP26" t="s">
        <v>74</v>
      </c>
      <c r="BQ26" t="s">
        <v>74</v>
      </c>
      <c r="BR26" t="s">
        <v>98</v>
      </c>
      <c r="BS26" t="s">
        <v>484</v>
      </c>
      <c r="BT26" t="str">
        <f>HYPERLINK("https%3A%2F%2Fwww.webofscience.com%2Fwos%2Fwoscc%2Ffull-record%2FWOS:000079477500016","View Full Record in Web of Science")</f>
        <v>View Full Record in Web of Science</v>
      </c>
    </row>
    <row r="27" spans="1:72" x14ac:dyDescent="0.15">
      <c r="A27" t="s">
        <v>72</v>
      </c>
      <c r="B27" t="s">
        <v>485</v>
      </c>
      <c r="C27" t="s">
        <v>74</v>
      </c>
      <c r="D27" t="s">
        <v>74</v>
      </c>
      <c r="E27" t="s">
        <v>74</v>
      </c>
      <c r="F27" t="s">
        <v>485</v>
      </c>
      <c r="G27" t="s">
        <v>74</v>
      </c>
      <c r="H27" t="s">
        <v>74</v>
      </c>
      <c r="I27" t="s">
        <v>486</v>
      </c>
      <c r="J27" t="s">
        <v>439</v>
      </c>
      <c r="K27" t="s">
        <v>74</v>
      </c>
      <c r="L27" t="s">
        <v>74</v>
      </c>
      <c r="M27" t="s">
        <v>77</v>
      </c>
      <c r="N27" t="s">
        <v>103</v>
      </c>
      <c r="O27" t="s">
        <v>74</v>
      </c>
      <c r="P27" t="s">
        <v>74</v>
      </c>
      <c r="Q27" t="s">
        <v>74</v>
      </c>
      <c r="R27" t="s">
        <v>74</v>
      </c>
      <c r="S27" t="s">
        <v>74</v>
      </c>
      <c r="T27" t="s">
        <v>74</v>
      </c>
      <c r="U27" t="s">
        <v>487</v>
      </c>
      <c r="V27" t="s">
        <v>488</v>
      </c>
      <c r="W27" t="s">
        <v>458</v>
      </c>
      <c r="X27" t="s">
        <v>459</v>
      </c>
      <c r="Y27" t="s">
        <v>489</v>
      </c>
      <c r="Z27" t="s">
        <v>490</v>
      </c>
      <c r="AA27" t="s">
        <v>74</v>
      </c>
      <c r="AB27" t="s">
        <v>74</v>
      </c>
      <c r="AC27" t="s">
        <v>74</v>
      </c>
      <c r="AD27" t="s">
        <v>74</v>
      </c>
      <c r="AE27" t="s">
        <v>74</v>
      </c>
      <c r="AF27" t="s">
        <v>74</v>
      </c>
      <c r="AG27">
        <v>40</v>
      </c>
      <c r="AH27">
        <v>19</v>
      </c>
      <c r="AI27">
        <v>19</v>
      </c>
      <c r="AJ27">
        <v>0</v>
      </c>
      <c r="AK27">
        <v>11</v>
      </c>
      <c r="AL27" t="s">
        <v>445</v>
      </c>
      <c r="AM27" t="s">
        <v>229</v>
      </c>
      <c r="AN27" t="s">
        <v>446</v>
      </c>
      <c r="AO27" t="s">
        <v>447</v>
      </c>
      <c r="AP27" t="s">
        <v>74</v>
      </c>
      <c r="AQ27" t="s">
        <v>74</v>
      </c>
      <c r="AR27" t="s">
        <v>448</v>
      </c>
      <c r="AS27" t="s">
        <v>449</v>
      </c>
      <c r="AT27" t="s">
        <v>74</v>
      </c>
      <c r="AU27">
        <v>1999</v>
      </c>
      <c r="AV27">
        <v>46</v>
      </c>
      <c r="AW27" t="s">
        <v>412</v>
      </c>
      <c r="AX27" t="s">
        <v>74</v>
      </c>
      <c r="AY27" t="s">
        <v>74</v>
      </c>
      <c r="AZ27" t="s">
        <v>74</v>
      </c>
      <c r="BA27" t="s">
        <v>74</v>
      </c>
      <c r="BB27">
        <v>393</v>
      </c>
      <c r="BC27">
        <v>435</v>
      </c>
      <c r="BD27" t="s">
        <v>74</v>
      </c>
      <c r="BE27" t="s">
        <v>491</v>
      </c>
      <c r="BF27" t="str">
        <f>HYPERLINK("http://dx.doi.org/10.1016/S0967-0645(98)00111-8","http://dx.doi.org/10.1016/S0967-0645(98)00111-8")</f>
        <v>http://dx.doi.org/10.1016/S0967-0645(98)00111-8</v>
      </c>
      <c r="BG27" t="s">
        <v>74</v>
      </c>
      <c r="BH27" t="s">
        <v>74</v>
      </c>
      <c r="BI27">
        <v>43</v>
      </c>
      <c r="BJ27" t="s">
        <v>451</v>
      </c>
      <c r="BK27" t="s">
        <v>95</v>
      </c>
      <c r="BL27" t="s">
        <v>451</v>
      </c>
      <c r="BM27" t="s">
        <v>452</v>
      </c>
      <c r="BN27" t="s">
        <v>74</v>
      </c>
      <c r="BO27" t="s">
        <v>74</v>
      </c>
      <c r="BP27" t="s">
        <v>74</v>
      </c>
      <c r="BQ27" t="s">
        <v>74</v>
      </c>
      <c r="BR27" t="s">
        <v>98</v>
      </c>
      <c r="BS27" t="s">
        <v>492</v>
      </c>
      <c r="BT27" t="str">
        <f>HYPERLINK("https%3A%2F%2Fwww.webofscience.com%2Fwos%2Fwoscc%2Ffull-record%2FWOS:000079477500017","View Full Record in Web of Science")</f>
        <v>View Full Record in Web of Science</v>
      </c>
    </row>
    <row r="28" spans="1:72" x14ac:dyDescent="0.15">
      <c r="A28" t="s">
        <v>72</v>
      </c>
      <c r="B28" t="s">
        <v>493</v>
      </c>
      <c r="C28" t="s">
        <v>74</v>
      </c>
      <c r="D28" t="s">
        <v>74</v>
      </c>
      <c r="E28" t="s">
        <v>74</v>
      </c>
      <c r="F28" t="s">
        <v>493</v>
      </c>
      <c r="G28" t="s">
        <v>74</v>
      </c>
      <c r="H28" t="s">
        <v>74</v>
      </c>
      <c r="I28" t="s">
        <v>494</v>
      </c>
      <c r="J28" t="s">
        <v>439</v>
      </c>
      <c r="K28" t="s">
        <v>74</v>
      </c>
      <c r="L28" t="s">
        <v>74</v>
      </c>
      <c r="M28" t="s">
        <v>77</v>
      </c>
      <c r="N28" t="s">
        <v>103</v>
      </c>
      <c r="O28" t="s">
        <v>74</v>
      </c>
      <c r="P28" t="s">
        <v>74</v>
      </c>
      <c r="Q28" t="s">
        <v>74</v>
      </c>
      <c r="R28" t="s">
        <v>74</v>
      </c>
      <c r="S28" t="s">
        <v>74</v>
      </c>
      <c r="T28" t="s">
        <v>74</v>
      </c>
      <c r="U28" t="s">
        <v>495</v>
      </c>
      <c r="V28" t="s">
        <v>496</v>
      </c>
      <c r="W28" t="s">
        <v>497</v>
      </c>
      <c r="X28" t="s">
        <v>498</v>
      </c>
      <c r="Y28" t="s">
        <v>499</v>
      </c>
      <c r="Z28" t="s">
        <v>74</v>
      </c>
      <c r="AA28" t="s">
        <v>500</v>
      </c>
      <c r="AB28" t="s">
        <v>501</v>
      </c>
      <c r="AC28" t="s">
        <v>74</v>
      </c>
      <c r="AD28" t="s">
        <v>74</v>
      </c>
      <c r="AE28" t="s">
        <v>74</v>
      </c>
      <c r="AF28" t="s">
        <v>74</v>
      </c>
      <c r="AG28">
        <v>23</v>
      </c>
      <c r="AH28">
        <v>46</v>
      </c>
      <c r="AI28">
        <v>47</v>
      </c>
      <c r="AJ28">
        <v>0</v>
      </c>
      <c r="AK28">
        <v>8</v>
      </c>
      <c r="AL28" t="s">
        <v>445</v>
      </c>
      <c r="AM28" t="s">
        <v>229</v>
      </c>
      <c r="AN28" t="s">
        <v>446</v>
      </c>
      <c r="AO28" t="s">
        <v>447</v>
      </c>
      <c r="AP28" t="s">
        <v>74</v>
      </c>
      <c r="AQ28" t="s">
        <v>74</v>
      </c>
      <c r="AR28" t="s">
        <v>448</v>
      </c>
      <c r="AS28" t="s">
        <v>449</v>
      </c>
      <c r="AT28" t="s">
        <v>74</v>
      </c>
      <c r="AU28">
        <v>1999</v>
      </c>
      <c r="AV28">
        <v>46</v>
      </c>
      <c r="AW28" t="s">
        <v>412</v>
      </c>
      <c r="AX28" t="s">
        <v>74</v>
      </c>
      <c r="AY28" t="s">
        <v>74</v>
      </c>
      <c r="AZ28" t="s">
        <v>74</v>
      </c>
      <c r="BA28" t="s">
        <v>74</v>
      </c>
      <c r="BB28">
        <v>475</v>
      </c>
      <c r="BC28">
        <v>499</v>
      </c>
      <c r="BD28" t="s">
        <v>74</v>
      </c>
      <c r="BE28" t="s">
        <v>502</v>
      </c>
      <c r="BF28" t="str">
        <f>HYPERLINK("http://dx.doi.org/10.1016/S0967-0645(98)00110-6","http://dx.doi.org/10.1016/S0967-0645(98)00110-6")</f>
        <v>http://dx.doi.org/10.1016/S0967-0645(98)00110-6</v>
      </c>
      <c r="BG28" t="s">
        <v>74</v>
      </c>
      <c r="BH28" t="s">
        <v>74</v>
      </c>
      <c r="BI28">
        <v>25</v>
      </c>
      <c r="BJ28" t="s">
        <v>451</v>
      </c>
      <c r="BK28" t="s">
        <v>95</v>
      </c>
      <c r="BL28" t="s">
        <v>451</v>
      </c>
      <c r="BM28" t="s">
        <v>452</v>
      </c>
      <c r="BN28" t="s">
        <v>74</v>
      </c>
      <c r="BO28" t="s">
        <v>74</v>
      </c>
      <c r="BP28" t="s">
        <v>74</v>
      </c>
      <c r="BQ28" t="s">
        <v>74</v>
      </c>
      <c r="BR28" t="s">
        <v>98</v>
      </c>
      <c r="BS28" t="s">
        <v>503</v>
      </c>
      <c r="BT28" t="str">
        <f>HYPERLINK("https%3A%2F%2Fwww.webofscience.com%2Fwos%2Fwoscc%2Ffull-record%2FWOS:000079477500020","View Full Record in Web of Science")</f>
        <v>View Full Record in Web of Science</v>
      </c>
    </row>
    <row r="29" spans="1:72" x14ac:dyDescent="0.15">
      <c r="A29" t="s">
        <v>72</v>
      </c>
      <c r="B29" t="s">
        <v>504</v>
      </c>
      <c r="C29" t="s">
        <v>74</v>
      </c>
      <c r="D29" t="s">
        <v>74</v>
      </c>
      <c r="E29" t="s">
        <v>74</v>
      </c>
      <c r="F29" t="s">
        <v>504</v>
      </c>
      <c r="G29" t="s">
        <v>74</v>
      </c>
      <c r="H29" t="s">
        <v>74</v>
      </c>
      <c r="I29" t="s">
        <v>505</v>
      </c>
      <c r="J29" t="s">
        <v>439</v>
      </c>
      <c r="K29" t="s">
        <v>74</v>
      </c>
      <c r="L29" t="s">
        <v>74</v>
      </c>
      <c r="M29" t="s">
        <v>77</v>
      </c>
      <c r="N29" t="s">
        <v>103</v>
      </c>
      <c r="O29" t="s">
        <v>74</v>
      </c>
      <c r="P29" t="s">
        <v>74</v>
      </c>
      <c r="Q29" t="s">
        <v>74</v>
      </c>
      <c r="R29" t="s">
        <v>74</v>
      </c>
      <c r="S29" t="s">
        <v>74</v>
      </c>
      <c r="T29" t="s">
        <v>74</v>
      </c>
      <c r="U29" t="s">
        <v>506</v>
      </c>
      <c r="V29" t="s">
        <v>507</v>
      </c>
      <c r="W29" t="s">
        <v>508</v>
      </c>
      <c r="X29" t="s">
        <v>509</v>
      </c>
      <c r="Y29" t="s">
        <v>510</v>
      </c>
      <c r="Z29" t="s">
        <v>511</v>
      </c>
      <c r="AA29" t="s">
        <v>74</v>
      </c>
      <c r="AB29" t="s">
        <v>74</v>
      </c>
      <c r="AC29" t="s">
        <v>74</v>
      </c>
      <c r="AD29" t="s">
        <v>74</v>
      </c>
      <c r="AE29" t="s">
        <v>74</v>
      </c>
      <c r="AF29" t="s">
        <v>74</v>
      </c>
      <c r="AG29">
        <v>40</v>
      </c>
      <c r="AH29">
        <v>119</v>
      </c>
      <c r="AI29">
        <v>123</v>
      </c>
      <c r="AJ29">
        <v>0</v>
      </c>
      <c r="AK29">
        <v>10</v>
      </c>
      <c r="AL29" t="s">
        <v>445</v>
      </c>
      <c r="AM29" t="s">
        <v>229</v>
      </c>
      <c r="AN29" t="s">
        <v>446</v>
      </c>
      <c r="AO29" t="s">
        <v>447</v>
      </c>
      <c r="AP29" t="s">
        <v>470</v>
      </c>
      <c r="AQ29" t="s">
        <v>74</v>
      </c>
      <c r="AR29" t="s">
        <v>448</v>
      </c>
      <c r="AS29" t="s">
        <v>449</v>
      </c>
      <c r="AT29" t="s">
        <v>74</v>
      </c>
      <c r="AU29">
        <v>1999</v>
      </c>
      <c r="AV29">
        <v>46</v>
      </c>
      <c r="AW29" t="s">
        <v>412</v>
      </c>
      <c r="AX29" t="s">
        <v>74</v>
      </c>
      <c r="AY29" t="s">
        <v>74</v>
      </c>
      <c r="AZ29" t="s">
        <v>74</v>
      </c>
      <c r="BA29" t="s">
        <v>74</v>
      </c>
      <c r="BB29">
        <v>501</v>
      </c>
      <c r="BC29">
        <v>527</v>
      </c>
      <c r="BD29" t="s">
        <v>74</v>
      </c>
      <c r="BE29" t="s">
        <v>512</v>
      </c>
      <c r="BF29" t="str">
        <f>HYPERLINK("http://dx.doi.org/10.1016/S0967-0645(98)00112-X","http://dx.doi.org/10.1016/S0967-0645(98)00112-X")</f>
        <v>http://dx.doi.org/10.1016/S0967-0645(98)00112-X</v>
      </c>
      <c r="BG29" t="s">
        <v>74</v>
      </c>
      <c r="BH29" t="s">
        <v>74</v>
      </c>
      <c r="BI29">
        <v>27</v>
      </c>
      <c r="BJ29" t="s">
        <v>451</v>
      </c>
      <c r="BK29" t="s">
        <v>95</v>
      </c>
      <c r="BL29" t="s">
        <v>451</v>
      </c>
      <c r="BM29" t="s">
        <v>452</v>
      </c>
      <c r="BN29" t="s">
        <v>74</v>
      </c>
      <c r="BO29" t="s">
        <v>74</v>
      </c>
      <c r="BP29" t="s">
        <v>74</v>
      </c>
      <c r="BQ29" t="s">
        <v>74</v>
      </c>
      <c r="BR29" t="s">
        <v>98</v>
      </c>
      <c r="BS29" t="s">
        <v>513</v>
      </c>
      <c r="BT29" t="str">
        <f>HYPERLINK("https%3A%2F%2Fwww.webofscience.com%2Fwos%2Fwoscc%2Ffull-record%2FWOS:000079477500021","View Full Record in Web of Science")</f>
        <v>View Full Record in Web of Science</v>
      </c>
    </row>
    <row r="30" spans="1:72" x14ac:dyDescent="0.15">
      <c r="A30" t="s">
        <v>72</v>
      </c>
      <c r="B30" t="s">
        <v>514</v>
      </c>
      <c r="C30" t="s">
        <v>74</v>
      </c>
      <c r="D30" t="s">
        <v>74</v>
      </c>
      <c r="E30" t="s">
        <v>74</v>
      </c>
      <c r="F30" t="s">
        <v>514</v>
      </c>
      <c r="G30" t="s">
        <v>74</v>
      </c>
      <c r="H30" t="s">
        <v>74</v>
      </c>
      <c r="I30" t="s">
        <v>515</v>
      </c>
      <c r="J30" t="s">
        <v>439</v>
      </c>
      <c r="K30" t="s">
        <v>74</v>
      </c>
      <c r="L30" t="s">
        <v>74</v>
      </c>
      <c r="M30" t="s">
        <v>77</v>
      </c>
      <c r="N30" t="s">
        <v>123</v>
      </c>
      <c r="O30" t="s">
        <v>516</v>
      </c>
      <c r="P30" t="s">
        <v>517</v>
      </c>
      <c r="Q30" t="s">
        <v>518</v>
      </c>
      <c r="R30" t="s">
        <v>74</v>
      </c>
      <c r="S30" t="s">
        <v>74</v>
      </c>
      <c r="T30" t="s">
        <v>74</v>
      </c>
      <c r="U30" t="s">
        <v>519</v>
      </c>
      <c r="V30" t="s">
        <v>520</v>
      </c>
      <c r="W30" t="s">
        <v>521</v>
      </c>
      <c r="X30" t="s">
        <v>522</v>
      </c>
      <c r="Y30" t="s">
        <v>523</v>
      </c>
      <c r="Z30" t="s">
        <v>74</v>
      </c>
      <c r="AA30" t="s">
        <v>524</v>
      </c>
      <c r="AB30" t="s">
        <v>525</v>
      </c>
      <c r="AC30" t="s">
        <v>74</v>
      </c>
      <c r="AD30" t="s">
        <v>74</v>
      </c>
      <c r="AE30" t="s">
        <v>74</v>
      </c>
      <c r="AF30" t="s">
        <v>74</v>
      </c>
      <c r="AG30">
        <v>15</v>
      </c>
      <c r="AH30">
        <v>18</v>
      </c>
      <c r="AI30">
        <v>19</v>
      </c>
      <c r="AJ30">
        <v>0</v>
      </c>
      <c r="AK30">
        <v>7</v>
      </c>
      <c r="AL30" t="s">
        <v>445</v>
      </c>
      <c r="AM30" t="s">
        <v>229</v>
      </c>
      <c r="AN30" t="s">
        <v>446</v>
      </c>
      <c r="AO30" t="s">
        <v>447</v>
      </c>
      <c r="AP30" t="s">
        <v>74</v>
      </c>
      <c r="AQ30" t="s">
        <v>74</v>
      </c>
      <c r="AR30" t="s">
        <v>448</v>
      </c>
      <c r="AS30" t="s">
        <v>449</v>
      </c>
      <c r="AT30" t="s">
        <v>74</v>
      </c>
      <c r="AU30">
        <v>1999</v>
      </c>
      <c r="AV30">
        <v>46</v>
      </c>
      <c r="AW30">
        <v>5</v>
      </c>
      <c r="AX30" t="s">
        <v>74</v>
      </c>
      <c r="AY30" t="s">
        <v>74</v>
      </c>
      <c r="AZ30" t="s">
        <v>74</v>
      </c>
      <c r="BA30" t="s">
        <v>74</v>
      </c>
      <c r="BB30">
        <v>867</v>
      </c>
      <c r="BC30">
        <v>884</v>
      </c>
      <c r="BD30" t="s">
        <v>74</v>
      </c>
      <c r="BE30" t="s">
        <v>526</v>
      </c>
      <c r="BF30" t="str">
        <f>HYPERLINK("http://dx.doi.org/10.1016/S0967-0645(99)00005-3","http://dx.doi.org/10.1016/S0967-0645(99)00005-3")</f>
        <v>http://dx.doi.org/10.1016/S0967-0645(99)00005-3</v>
      </c>
      <c r="BG30" t="s">
        <v>74</v>
      </c>
      <c r="BH30" t="s">
        <v>74</v>
      </c>
      <c r="BI30">
        <v>18</v>
      </c>
      <c r="BJ30" t="s">
        <v>451</v>
      </c>
      <c r="BK30" t="s">
        <v>235</v>
      </c>
      <c r="BL30" t="s">
        <v>451</v>
      </c>
      <c r="BM30" t="s">
        <v>527</v>
      </c>
      <c r="BN30" t="s">
        <v>74</v>
      </c>
      <c r="BO30" t="s">
        <v>74</v>
      </c>
      <c r="BP30" t="s">
        <v>74</v>
      </c>
      <c r="BQ30" t="s">
        <v>74</v>
      </c>
      <c r="BR30" t="s">
        <v>98</v>
      </c>
      <c r="BS30" t="s">
        <v>528</v>
      </c>
      <c r="BT30" t="str">
        <f>HYPERLINK("https%3A%2F%2Fwww.webofscience.com%2Fwos%2Fwoscc%2Ffull-record%2FWOS:000080514900002","View Full Record in Web of Science")</f>
        <v>View Full Record in Web of Science</v>
      </c>
    </row>
    <row r="31" spans="1:72" x14ac:dyDescent="0.15">
      <c r="A31" t="s">
        <v>72</v>
      </c>
      <c r="B31" t="s">
        <v>529</v>
      </c>
      <c r="C31" t="s">
        <v>74</v>
      </c>
      <c r="D31" t="s">
        <v>74</v>
      </c>
      <c r="E31" t="s">
        <v>74</v>
      </c>
      <c r="F31" t="s">
        <v>529</v>
      </c>
      <c r="G31" t="s">
        <v>74</v>
      </c>
      <c r="H31" t="s">
        <v>74</v>
      </c>
      <c r="I31" t="s">
        <v>530</v>
      </c>
      <c r="J31" t="s">
        <v>439</v>
      </c>
      <c r="K31" t="s">
        <v>74</v>
      </c>
      <c r="L31" t="s">
        <v>74</v>
      </c>
      <c r="M31" t="s">
        <v>77</v>
      </c>
      <c r="N31" t="s">
        <v>123</v>
      </c>
      <c r="O31" t="s">
        <v>516</v>
      </c>
      <c r="P31" t="s">
        <v>517</v>
      </c>
      <c r="Q31" t="s">
        <v>518</v>
      </c>
      <c r="R31" t="s">
        <v>74</v>
      </c>
      <c r="S31" t="s">
        <v>74</v>
      </c>
      <c r="T31" t="s">
        <v>74</v>
      </c>
      <c r="U31" t="s">
        <v>531</v>
      </c>
      <c r="V31" t="s">
        <v>532</v>
      </c>
      <c r="W31" t="s">
        <v>533</v>
      </c>
      <c r="X31" t="s">
        <v>534</v>
      </c>
      <c r="Y31" t="s">
        <v>535</v>
      </c>
      <c r="Z31" t="s">
        <v>74</v>
      </c>
      <c r="AA31" t="s">
        <v>74</v>
      </c>
      <c r="AB31" t="s">
        <v>536</v>
      </c>
      <c r="AC31" t="s">
        <v>74</v>
      </c>
      <c r="AD31" t="s">
        <v>74</v>
      </c>
      <c r="AE31" t="s">
        <v>74</v>
      </c>
      <c r="AF31" t="s">
        <v>74</v>
      </c>
      <c r="AG31">
        <v>39</v>
      </c>
      <c r="AH31">
        <v>148</v>
      </c>
      <c r="AI31">
        <v>171</v>
      </c>
      <c r="AJ31">
        <v>1</v>
      </c>
      <c r="AK31">
        <v>65</v>
      </c>
      <c r="AL31" t="s">
        <v>445</v>
      </c>
      <c r="AM31" t="s">
        <v>229</v>
      </c>
      <c r="AN31" t="s">
        <v>446</v>
      </c>
      <c r="AO31" t="s">
        <v>447</v>
      </c>
      <c r="AP31" t="s">
        <v>74</v>
      </c>
      <c r="AQ31" t="s">
        <v>74</v>
      </c>
      <c r="AR31" t="s">
        <v>448</v>
      </c>
      <c r="AS31" t="s">
        <v>449</v>
      </c>
      <c r="AT31" t="s">
        <v>74</v>
      </c>
      <c r="AU31">
        <v>1999</v>
      </c>
      <c r="AV31">
        <v>46</v>
      </c>
      <c r="AW31">
        <v>5</v>
      </c>
      <c r="AX31" t="s">
        <v>74</v>
      </c>
      <c r="AY31" t="s">
        <v>74</v>
      </c>
      <c r="AZ31" t="s">
        <v>74</v>
      </c>
      <c r="BA31" t="s">
        <v>74</v>
      </c>
      <c r="BB31">
        <v>937</v>
      </c>
      <c r="BC31">
        <v>956</v>
      </c>
      <c r="BD31" t="s">
        <v>74</v>
      </c>
      <c r="BE31" t="s">
        <v>537</v>
      </c>
      <c r="BF31" t="str">
        <f>HYPERLINK("http://dx.doi.org/10.1016/S0967-0645(99)00010-7","http://dx.doi.org/10.1016/S0967-0645(99)00010-7")</f>
        <v>http://dx.doi.org/10.1016/S0967-0645(99)00010-7</v>
      </c>
      <c r="BG31" t="s">
        <v>74</v>
      </c>
      <c r="BH31" t="s">
        <v>74</v>
      </c>
      <c r="BI31">
        <v>20</v>
      </c>
      <c r="BJ31" t="s">
        <v>451</v>
      </c>
      <c r="BK31" t="s">
        <v>235</v>
      </c>
      <c r="BL31" t="s">
        <v>451</v>
      </c>
      <c r="BM31" t="s">
        <v>527</v>
      </c>
      <c r="BN31" t="s">
        <v>74</v>
      </c>
      <c r="BO31" t="s">
        <v>74</v>
      </c>
      <c r="BP31" t="s">
        <v>74</v>
      </c>
      <c r="BQ31" t="s">
        <v>74</v>
      </c>
      <c r="BR31" t="s">
        <v>98</v>
      </c>
      <c r="BS31" t="s">
        <v>538</v>
      </c>
      <c r="BT31" t="str">
        <f>HYPERLINK("https%3A%2F%2Fwww.webofscience.com%2Fwos%2Fwoscc%2Ffull-record%2FWOS:000080514900006","View Full Record in Web of Science")</f>
        <v>View Full Record in Web of Science</v>
      </c>
    </row>
    <row r="32" spans="1:72" x14ac:dyDescent="0.15">
      <c r="A32" t="s">
        <v>72</v>
      </c>
      <c r="B32" t="s">
        <v>539</v>
      </c>
      <c r="C32" t="s">
        <v>74</v>
      </c>
      <c r="D32" t="s">
        <v>74</v>
      </c>
      <c r="E32" t="s">
        <v>74</v>
      </c>
      <c r="F32" t="s">
        <v>539</v>
      </c>
      <c r="G32" t="s">
        <v>74</v>
      </c>
      <c r="H32" t="s">
        <v>74</v>
      </c>
      <c r="I32" t="s">
        <v>540</v>
      </c>
      <c r="J32" t="s">
        <v>439</v>
      </c>
      <c r="K32" t="s">
        <v>74</v>
      </c>
      <c r="L32" t="s">
        <v>74</v>
      </c>
      <c r="M32" t="s">
        <v>77</v>
      </c>
      <c r="N32" t="s">
        <v>103</v>
      </c>
      <c r="O32" t="s">
        <v>74</v>
      </c>
      <c r="P32" t="s">
        <v>74</v>
      </c>
      <c r="Q32" t="s">
        <v>74</v>
      </c>
      <c r="R32" t="s">
        <v>74</v>
      </c>
      <c r="S32" t="s">
        <v>74</v>
      </c>
      <c r="T32" t="s">
        <v>74</v>
      </c>
      <c r="U32" t="s">
        <v>541</v>
      </c>
      <c r="V32" t="s">
        <v>542</v>
      </c>
      <c r="W32" t="s">
        <v>543</v>
      </c>
      <c r="X32" t="s">
        <v>544</v>
      </c>
      <c r="Y32" t="s">
        <v>545</v>
      </c>
      <c r="Z32" t="s">
        <v>546</v>
      </c>
      <c r="AA32" t="s">
        <v>547</v>
      </c>
      <c r="AB32" t="s">
        <v>548</v>
      </c>
      <c r="AC32" t="s">
        <v>74</v>
      </c>
      <c r="AD32" t="s">
        <v>74</v>
      </c>
      <c r="AE32" t="s">
        <v>74</v>
      </c>
      <c r="AF32" t="s">
        <v>74</v>
      </c>
      <c r="AG32">
        <v>40</v>
      </c>
      <c r="AH32">
        <v>3</v>
      </c>
      <c r="AI32">
        <v>4</v>
      </c>
      <c r="AJ32">
        <v>0</v>
      </c>
      <c r="AK32">
        <v>3</v>
      </c>
      <c r="AL32" t="s">
        <v>445</v>
      </c>
      <c r="AM32" t="s">
        <v>229</v>
      </c>
      <c r="AN32" t="s">
        <v>446</v>
      </c>
      <c r="AO32" t="s">
        <v>447</v>
      </c>
      <c r="AP32" t="s">
        <v>470</v>
      </c>
      <c r="AQ32" t="s">
        <v>74</v>
      </c>
      <c r="AR32" t="s">
        <v>448</v>
      </c>
      <c r="AS32" t="s">
        <v>449</v>
      </c>
      <c r="AT32" t="s">
        <v>74</v>
      </c>
      <c r="AU32">
        <v>1999</v>
      </c>
      <c r="AV32">
        <v>46</v>
      </c>
      <c r="AW32" t="s">
        <v>549</v>
      </c>
      <c r="AX32" t="s">
        <v>74</v>
      </c>
      <c r="AY32" t="s">
        <v>74</v>
      </c>
      <c r="AZ32" t="s">
        <v>74</v>
      </c>
      <c r="BA32" t="s">
        <v>74</v>
      </c>
      <c r="BB32">
        <v>1301</v>
      </c>
      <c r="BC32">
        <v>1318</v>
      </c>
      <c r="BD32" t="s">
        <v>74</v>
      </c>
      <c r="BE32" t="s">
        <v>550</v>
      </c>
      <c r="BF32" t="str">
        <f>HYPERLINK("http://dx.doi.org/10.1016/S0967-0645(99)00024-7","http://dx.doi.org/10.1016/S0967-0645(99)00024-7")</f>
        <v>http://dx.doi.org/10.1016/S0967-0645(99)00024-7</v>
      </c>
      <c r="BG32" t="s">
        <v>74</v>
      </c>
      <c r="BH32" t="s">
        <v>74</v>
      </c>
      <c r="BI32">
        <v>18</v>
      </c>
      <c r="BJ32" t="s">
        <v>451</v>
      </c>
      <c r="BK32" t="s">
        <v>95</v>
      </c>
      <c r="BL32" t="s">
        <v>451</v>
      </c>
      <c r="BM32" t="s">
        <v>551</v>
      </c>
      <c r="BN32" t="s">
        <v>74</v>
      </c>
      <c r="BO32" t="s">
        <v>74</v>
      </c>
      <c r="BP32" t="s">
        <v>74</v>
      </c>
      <c r="BQ32" t="s">
        <v>74</v>
      </c>
      <c r="BR32" t="s">
        <v>98</v>
      </c>
      <c r="BS32" t="s">
        <v>552</v>
      </c>
      <c r="BT32" t="str">
        <f>HYPERLINK("https%3A%2F%2Fwww.webofscience.com%2Fwos%2Fwoscc%2Ffull-record%2FWOS:000081121900011","View Full Record in Web of Science")</f>
        <v>View Full Record in Web of Science</v>
      </c>
    </row>
    <row r="33" spans="1:72" x14ac:dyDescent="0.15">
      <c r="A33" t="s">
        <v>147</v>
      </c>
      <c r="B33" t="s">
        <v>553</v>
      </c>
      <c r="C33" t="s">
        <v>74</v>
      </c>
      <c r="D33" t="s">
        <v>554</v>
      </c>
      <c r="E33" t="s">
        <v>74</v>
      </c>
      <c r="F33" t="s">
        <v>553</v>
      </c>
      <c r="G33" t="s">
        <v>74</v>
      </c>
      <c r="H33" t="s">
        <v>74</v>
      </c>
      <c r="I33" t="s">
        <v>555</v>
      </c>
      <c r="J33" t="s">
        <v>556</v>
      </c>
      <c r="K33" t="s">
        <v>74</v>
      </c>
      <c r="L33" t="s">
        <v>74</v>
      </c>
      <c r="M33" t="s">
        <v>77</v>
      </c>
      <c r="N33" t="s">
        <v>153</v>
      </c>
      <c r="O33" t="s">
        <v>557</v>
      </c>
      <c r="P33" t="s">
        <v>558</v>
      </c>
      <c r="Q33" t="s">
        <v>559</v>
      </c>
      <c r="R33" t="s">
        <v>74</v>
      </c>
      <c r="S33" t="s">
        <v>74</v>
      </c>
      <c r="T33" t="s">
        <v>74</v>
      </c>
      <c r="U33" t="s">
        <v>560</v>
      </c>
      <c r="V33" t="s">
        <v>74</v>
      </c>
      <c r="W33" t="s">
        <v>561</v>
      </c>
      <c r="X33" t="s">
        <v>562</v>
      </c>
      <c r="Y33" t="s">
        <v>563</v>
      </c>
      <c r="Z33" t="s">
        <v>74</v>
      </c>
      <c r="AA33" t="s">
        <v>564</v>
      </c>
      <c r="AB33" t="s">
        <v>74</v>
      </c>
      <c r="AC33" t="s">
        <v>74</v>
      </c>
      <c r="AD33" t="s">
        <v>74</v>
      </c>
      <c r="AE33" t="s">
        <v>74</v>
      </c>
      <c r="AF33" t="s">
        <v>74</v>
      </c>
      <c r="AG33">
        <v>29</v>
      </c>
      <c r="AH33">
        <v>0</v>
      </c>
      <c r="AI33">
        <v>0</v>
      </c>
      <c r="AJ33">
        <v>0</v>
      </c>
      <c r="AK33">
        <v>0</v>
      </c>
      <c r="AL33" t="s">
        <v>565</v>
      </c>
      <c r="AM33" t="s">
        <v>566</v>
      </c>
      <c r="AN33" t="s">
        <v>567</v>
      </c>
      <c r="AO33" t="s">
        <v>74</v>
      </c>
      <c r="AP33" t="s">
        <v>74</v>
      </c>
      <c r="AQ33" t="s">
        <v>568</v>
      </c>
      <c r="AR33" t="s">
        <v>74</v>
      </c>
      <c r="AS33" t="s">
        <v>74</v>
      </c>
      <c r="AT33" t="s">
        <v>74</v>
      </c>
      <c r="AU33">
        <v>1999</v>
      </c>
      <c r="AV33" t="s">
        <v>74</v>
      </c>
      <c r="AW33" t="s">
        <v>74</v>
      </c>
      <c r="AX33" t="s">
        <v>74</v>
      </c>
      <c r="AY33" t="s">
        <v>74</v>
      </c>
      <c r="AZ33" t="s">
        <v>74</v>
      </c>
      <c r="BA33" t="s">
        <v>74</v>
      </c>
      <c r="BB33">
        <v>27</v>
      </c>
      <c r="BC33">
        <v>32</v>
      </c>
      <c r="BD33" t="s">
        <v>74</v>
      </c>
      <c r="BE33" t="s">
        <v>74</v>
      </c>
      <c r="BF33" t="s">
        <v>74</v>
      </c>
      <c r="BG33" t="s">
        <v>74</v>
      </c>
      <c r="BH33" t="s">
        <v>74</v>
      </c>
      <c r="BI33">
        <v>6</v>
      </c>
      <c r="BJ33" t="s">
        <v>569</v>
      </c>
      <c r="BK33" t="s">
        <v>171</v>
      </c>
      <c r="BL33" t="s">
        <v>569</v>
      </c>
      <c r="BM33" t="s">
        <v>570</v>
      </c>
      <c r="BN33" t="s">
        <v>74</v>
      </c>
      <c r="BO33" t="s">
        <v>74</v>
      </c>
      <c r="BP33" t="s">
        <v>74</v>
      </c>
      <c r="BQ33" t="s">
        <v>74</v>
      </c>
      <c r="BR33" t="s">
        <v>98</v>
      </c>
      <c r="BS33" t="s">
        <v>571</v>
      </c>
      <c r="BT33" t="str">
        <f>HYPERLINK("https%3A%2F%2Fwww.webofscience.com%2Fwos%2Fwoscc%2Ffull-record%2FWOS:000082549800007","View Full Record in Web of Science")</f>
        <v>View Full Record in Web of Science</v>
      </c>
    </row>
    <row r="34" spans="1:72" x14ac:dyDescent="0.15">
      <c r="A34" t="s">
        <v>72</v>
      </c>
      <c r="B34" t="s">
        <v>572</v>
      </c>
      <c r="C34" t="s">
        <v>74</v>
      </c>
      <c r="D34" t="s">
        <v>74</v>
      </c>
      <c r="E34" t="s">
        <v>74</v>
      </c>
      <c r="F34" t="s">
        <v>572</v>
      </c>
      <c r="G34" t="s">
        <v>74</v>
      </c>
      <c r="H34" t="s">
        <v>74</v>
      </c>
      <c r="I34" t="s">
        <v>573</v>
      </c>
      <c r="J34" t="s">
        <v>574</v>
      </c>
      <c r="K34" t="s">
        <v>74</v>
      </c>
      <c r="L34" t="s">
        <v>74</v>
      </c>
      <c r="M34" t="s">
        <v>77</v>
      </c>
      <c r="N34" t="s">
        <v>103</v>
      </c>
      <c r="O34" t="s">
        <v>74</v>
      </c>
      <c r="P34" t="s">
        <v>74</v>
      </c>
      <c r="Q34" t="s">
        <v>74</v>
      </c>
      <c r="R34" t="s">
        <v>74</v>
      </c>
      <c r="S34" t="s">
        <v>74</v>
      </c>
      <c r="T34" t="s">
        <v>74</v>
      </c>
      <c r="U34" t="s">
        <v>74</v>
      </c>
      <c r="V34" t="s">
        <v>575</v>
      </c>
      <c r="W34" t="s">
        <v>576</v>
      </c>
      <c r="X34" t="s">
        <v>577</v>
      </c>
      <c r="Y34" t="s">
        <v>578</v>
      </c>
      <c r="Z34" t="s">
        <v>74</v>
      </c>
      <c r="AA34" t="s">
        <v>74</v>
      </c>
      <c r="AB34" t="s">
        <v>74</v>
      </c>
      <c r="AC34" t="s">
        <v>74</v>
      </c>
      <c r="AD34" t="s">
        <v>74</v>
      </c>
      <c r="AE34" t="s">
        <v>74</v>
      </c>
      <c r="AF34" t="s">
        <v>74</v>
      </c>
      <c r="AG34">
        <v>9</v>
      </c>
      <c r="AH34">
        <v>0</v>
      </c>
      <c r="AI34">
        <v>0</v>
      </c>
      <c r="AJ34">
        <v>0</v>
      </c>
      <c r="AK34">
        <v>1</v>
      </c>
      <c r="AL34" t="s">
        <v>579</v>
      </c>
      <c r="AM34" t="s">
        <v>580</v>
      </c>
      <c r="AN34" t="s">
        <v>581</v>
      </c>
      <c r="AO34" t="s">
        <v>582</v>
      </c>
      <c r="AP34" t="s">
        <v>74</v>
      </c>
      <c r="AQ34" t="s">
        <v>74</v>
      </c>
      <c r="AR34" t="s">
        <v>583</v>
      </c>
      <c r="AS34" t="s">
        <v>584</v>
      </c>
      <c r="AT34" t="s">
        <v>74</v>
      </c>
      <c r="AU34">
        <v>1999</v>
      </c>
      <c r="AV34">
        <v>15</v>
      </c>
      <c r="AW34">
        <v>5</v>
      </c>
      <c r="AX34" t="s">
        <v>74</v>
      </c>
      <c r="AY34" t="s">
        <v>74</v>
      </c>
      <c r="AZ34" t="s">
        <v>74</v>
      </c>
      <c r="BA34" t="s">
        <v>74</v>
      </c>
      <c r="BB34">
        <v>763</v>
      </c>
      <c r="BC34">
        <v>775</v>
      </c>
      <c r="BD34" t="s">
        <v>74</v>
      </c>
      <c r="BE34" t="s">
        <v>74</v>
      </c>
      <c r="BF34" t="s">
        <v>74</v>
      </c>
      <c r="BG34" t="s">
        <v>74</v>
      </c>
      <c r="BH34" t="s">
        <v>74</v>
      </c>
      <c r="BI34">
        <v>13</v>
      </c>
      <c r="BJ34" t="s">
        <v>585</v>
      </c>
      <c r="BK34" t="s">
        <v>95</v>
      </c>
      <c r="BL34" t="s">
        <v>586</v>
      </c>
      <c r="BM34" t="s">
        <v>587</v>
      </c>
      <c r="BN34" t="s">
        <v>74</v>
      </c>
      <c r="BO34" t="s">
        <v>74</v>
      </c>
      <c r="BP34" t="s">
        <v>74</v>
      </c>
      <c r="BQ34" t="s">
        <v>74</v>
      </c>
      <c r="BR34" t="s">
        <v>98</v>
      </c>
      <c r="BS34" t="s">
        <v>588</v>
      </c>
      <c r="BT34" t="str">
        <f>HYPERLINK("https%3A%2F%2Fwww.webofscience.com%2Fwos%2Fwoscc%2Ffull-record%2FWOS:000083727400008","View Full Record in Web of Science")</f>
        <v>View Full Record in Web of Science</v>
      </c>
    </row>
    <row r="35" spans="1:72" x14ac:dyDescent="0.15">
      <c r="A35" t="s">
        <v>72</v>
      </c>
      <c r="B35" t="s">
        <v>589</v>
      </c>
      <c r="C35" t="s">
        <v>74</v>
      </c>
      <c r="D35" t="s">
        <v>74</v>
      </c>
      <c r="E35" t="s">
        <v>74</v>
      </c>
      <c r="F35" t="s">
        <v>589</v>
      </c>
      <c r="G35" t="s">
        <v>74</v>
      </c>
      <c r="H35" t="s">
        <v>74</v>
      </c>
      <c r="I35" t="s">
        <v>590</v>
      </c>
      <c r="J35" t="s">
        <v>591</v>
      </c>
      <c r="K35" t="s">
        <v>74</v>
      </c>
      <c r="L35" t="s">
        <v>74</v>
      </c>
      <c r="M35" t="s">
        <v>77</v>
      </c>
      <c r="N35" t="s">
        <v>103</v>
      </c>
      <c r="O35" t="s">
        <v>74</v>
      </c>
      <c r="P35" t="s">
        <v>74</v>
      </c>
      <c r="Q35" t="s">
        <v>74</v>
      </c>
      <c r="R35" t="s">
        <v>74</v>
      </c>
      <c r="S35" t="s">
        <v>74</v>
      </c>
      <c r="T35" t="s">
        <v>74</v>
      </c>
      <c r="U35" t="s">
        <v>592</v>
      </c>
      <c r="V35" t="s">
        <v>593</v>
      </c>
      <c r="W35" t="s">
        <v>594</v>
      </c>
      <c r="X35" t="s">
        <v>595</v>
      </c>
      <c r="Y35" t="s">
        <v>596</v>
      </c>
      <c r="Z35" t="s">
        <v>597</v>
      </c>
      <c r="AA35" t="s">
        <v>74</v>
      </c>
      <c r="AB35" t="s">
        <v>598</v>
      </c>
      <c r="AC35" t="s">
        <v>74</v>
      </c>
      <c r="AD35" t="s">
        <v>74</v>
      </c>
      <c r="AE35" t="s">
        <v>74</v>
      </c>
      <c r="AF35" t="s">
        <v>74</v>
      </c>
      <c r="AG35">
        <v>30</v>
      </c>
      <c r="AH35">
        <v>21</v>
      </c>
      <c r="AI35">
        <v>21</v>
      </c>
      <c r="AJ35">
        <v>1</v>
      </c>
      <c r="AK35">
        <v>1</v>
      </c>
      <c r="AL35" t="s">
        <v>599</v>
      </c>
      <c r="AM35" t="s">
        <v>600</v>
      </c>
      <c r="AN35" t="s">
        <v>601</v>
      </c>
      <c r="AO35" t="s">
        <v>602</v>
      </c>
      <c r="AP35" t="s">
        <v>74</v>
      </c>
      <c r="AQ35" t="s">
        <v>74</v>
      </c>
      <c r="AR35" t="s">
        <v>603</v>
      </c>
      <c r="AS35" t="s">
        <v>604</v>
      </c>
      <c r="AT35" t="s">
        <v>74</v>
      </c>
      <c r="AU35">
        <v>1999</v>
      </c>
      <c r="AV35">
        <v>51</v>
      </c>
      <c r="AW35">
        <v>2</v>
      </c>
      <c r="AX35" t="s">
        <v>74</v>
      </c>
      <c r="AY35" t="s">
        <v>74</v>
      </c>
      <c r="AZ35" t="s">
        <v>74</v>
      </c>
      <c r="BA35" t="s">
        <v>74</v>
      </c>
      <c r="BB35">
        <v>93</v>
      </c>
      <c r="BC35">
        <v>106</v>
      </c>
      <c r="BD35" t="s">
        <v>74</v>
      </c>
      <c r="BE35" t="s">
        <v>605</v>
      </c>
      <c r="BF35" t="str">
        <f>HYPERLINK("http://dx.doi.org/10.1186/BF03352214","http://dx.doi.org/10.1186/BF03352214")</f>
        <v>http://dx.doi.org/10.1186/BF03352214</v>
      </c>
      <c r="BG35" t="s">
        <v>74</v>
      </c>
      <c r="BH35" t="s">
        <v>74</v>
      </c>
      <c r="BI35">
        <v>14</v>
      </c>
      <c r="BJ35" t="s">
        <v>192</v>
      </c>
      <c r="BK35" t="s">
        <v>95</v>
      </c>
      <c r="BL35" t="s">
        <v>193</v>
      </c>
      <c r="BM35" t="s">
        <v>606</v>
      </c>
      <c r="BN35" t="s">
        <v>74</v>
      </c>
      <c r="BO35" t="s">
        <v>607</v>
      </c>
      <c r="BP35" t="s">
        <v>74</v>
      </c>
      <c r="BQ35" t="s">
        <v>74</v>
      </c>
      <c r="BR35" t="s">
        <v>98</v>
      </c>
      <c r="BS35" t="s">
        <v>608</v>
      </c>
      <c r="BT35" t="str">
        <f>HYPERLINK("https%3A%2F%2Fwww.webofscience.com%2Fwos%2Fwoscc%2Ffull-record%2FWOS:000079383200003","View Full Record in Web of Science")</f>
        <v>View Full Record in Web of Science</v>
      </c>
    </row>
    <row r="36" spans="1:72" x14ac:dyDescent="0.15">
      <c r="A36" t="s">
        <v>72</v>
      </c>
      <c r="B36" t="s">
        <v>609</v>
      </c>
      <c r="C36" t="s">
        <v>74</v>
      </c>
      <c r="D36" t="s">
        <v>74</v>
      </c>
      <c r="E36" t="s">
        <v>74</v>
      </c>
      <c r="F36" t="s">
        <v>609</v>
      </c>
      <c r="G36" t="s">
        <v>74</v>
      </c>
      <c r="H36" t="s">
        <v>74</v>
      </c>
      <c r="I36" t="s">
        <v>610</v>
      </c>
      <c r="J36" t="s">
        <v>591</v>
      </c>
      <c r="K36" t="s">
        <v>74</v>
      </c>
      <c r="L36" t="s">
        <v>74</v>
      </c>
      <c r="M36" t="s">
        <v>77</v>
      </c>
      <c r="N36" t="s">
        <v>103</v>
      </c>
      <c r="O36" t="s">
        <v>74</v>
      </c>
      <c r="P36" t="s">
        <v>74</v>
      </c>
      <c r="Q36" t="s">
        <v>74</v>
      </c>
      <c r="R36" t="s">
        <v>74</v>
      </c>
      <c r="S36" t="s">
        <v>74</v>
      </c>
      <c r="T36" t="s">
        <v>74</v>
      </c>
      <c r="U36" t="s">
        <v>74</v>
      </c>
      <c r="V36" t="s">
        <v>611</v>
      </c>
      <c r="W36" t="s">
        <v>612</v>
      </c>
      <c r="X36" t="s">
        <v>613</v>
      </c>
      <c r="Y36" t="s">
        <v>614</v>
      </c>
      <c r="Z36" t="s">
        <v>74</v>
      </c>
      <c r="AA36" t="s">
        <v>615</v>
      </c>
      <c r="AB36" t="s">
        <v>74</v>
      </c>
      <c r="AC36" t="s">
        <v>74</v>
      </c>
      <c r="AD36" t="s">
        <v>74</v>
      </c>
      <c r="AE36" t="s">
        <v>74</v>
      </c>
      <c r="AF36" t="s">
        <v>74</v>
      </c>
      <c r="AG36">
        <v>25</v>
      </c>
      <c r="AH36">
        <v>5</v>
      </c>
      <c r="AI36">
        <v>5</v>
      </c>
      <c r="AJ36">
        <v>0</v>
      </c>
      <c r="AK36">
        <v>2</v>
      </c>
      <c r="AL36" t="s">
        <v>599</v>
      </c>
      <c r="AM36" t="s">
        <v>600</v>
      </c>
      <c r="AN36" t="s">
        <v>601</v>
      </c>
      <c r="AO36" t="s">
        <v>602</v>
      </c>
      <c r="AP36" t="s">
        <v>74</v>
      </c>
      <c r="AQ36" t="s">
        <v>74</v>
      </c>
      <c r="AR36" t="s">
        <v>603</v>
      </c>
      <c r="AS36" t="s">
        <v>604</v>
      </c>
      <c r="AT36" t="s">
        <v>74</v>
      </c>
      <c r="AU36">
        <v>1999</v>
      </c>
      <c r="AV36">
        <v>51</v>
      </c>
      <c r="AW36">
        <v>3</v>
      </c>
      <c r="AX36" t="s">
        <v>74</v>
      </c>
      <c r="AY36" t="s">
        <v>74</v>
      </c>
      <c r="AZ36" t="s">
        <v>74</v>
      </c>
      <c r="BA36" t="s">
        <v>74</v>
      </c>
      <c r="BB36">
        <v>159</v>
      </c>
      <c r="BC36">
        <v>168</v>
      </c>
      <c r="BD36" t="s">
        <v>74</v>
      </c>
      <c r="BE36" t="s">
        <v>616</v>
      </c>
      <c r="BF36" t="str">
        <f>HYPERLINK("http://dx.doi.org/10.1186/BF03352220","http://dx.doi.org/10.1186/BF03352220")</f>
        <v>http://dx.doi.org/10.1186/BF03352220</v>
      </c>
      <c r="BG36" t="s">
        <v>74</v>
      </c>
      <c r="BH36" t="s">
        <v>74</v>
      </c>
      <c r="BI36">
        <v>10</v>
      </c>
      <c r="BJ36" t="s">
        <v>192</v>
      </c>
      <c r="BK36" t="s">
        <v>95</v>
      </c>
      <c r="BL36" t="s">
        <v>193</v>
      </c>
      <c r="BM36" t="s">
        <v>617</v>
      </c>
      <c r="BN36" t="s">
        <v>74</v>
      </c>
      <c r="BO36" t="s">
        <v>607</v>
      </c>
      <c r="BP36" t="s">
        <v>74</v>
      </c>
      <c r="BQ36" t="s">
        <v>74</v>
      </c>
      <c r="BR36" t="s">
        <v>98</v>
      </c>
      <c r="BS36" t="s">
        <v>618</v>
      </c>
      <c r="BT36" t="str">
        <f>HYPERLINK("https%3A%2F%2Fwww.webofscience.com%2Fwos%2Fwoscc%2Ffull-record%2FWOS:000079535400002","View Full Record in Web of Science")</f>
        <v>View Full Record in Web of Science</v>
      </c>
    </row>
    <row r="37" spans="1:72" x14ac:dyDescent="0.15">
      <c r="A37" t="s">
        <v>72</v>
      </c>
      <c r="B37" t="s">
        <v>619</v>
      </c>
      <c r="C37" t="s">
        <v>74</v>
      </c>
      <c r="D37" t="s">
        <v>74</v>
      </c>
      <c r="E37" t="s">
        <v>74</v>
      </c>
      <c r="F37" t="s">
        <v>619</v>
      </c>
      <c r="G37" t="s">
        <v>74</v>
      </c>
      <c r="H37" t="s">
        <v>74</v>
      </c>
      <c r="I37" t="s">
        <v>620</v>
      </c>
      <c r="J37" t="s">
        <v>591</v>
      </c>
      <c r="K37" t="s">
        <v>74</v>
      </c>
      <c r="L37" t="s">
        <v>74</v>
      </c>
      <c r="M37" t="s">
        <v>77</v>
      </c>
      <c r="N37" t="s">
        <v>123</v>
      </c>
      <c r="O37" t="s">
        <v>621</v>
      </c>
      <c r="P37" t="s">
        <v>622</v>
      </c>
      <c r="Q37" t="s">
        <v>623</v>
      </c>
      <c r="R37" t="s">
        <v>74</v>
      </c>
      <c r="S37" t="s">
        <v>624</v>
      </c>
      <c r="T37" t="s">
        <v>74</v>
      </c>
      <c r="U37" t="s">
        <v>625</v>
      </c>
      <c r="V37" t="s">
        <v>626</v>
      </c>
      <c r="W37" t="s">
        <v>627</v>
      </c>
      <c r="X37" t="s">
        <v>628</v>
      </c>
      <c r="Y37" t="s">
        <v>629</v>
      </c>
      <c r="Z37" t="s">
        <v>74</v>
      </c>
      <c r="AA37" t="s">
        <v>74</v>
      </c>
      <c r="AB37" t="s">
        <v>74</v>
      </c>
      <c r="AC37" t="s">
        <v>74</v>
      </c>
      <c r="AD37" t="s">
        <v>74</v>
      </c>
      <c r="AE37" t="s">
        <v>74</v>
      </c>
      <c r="AF37" t="s">
        <v>74</v>
      </c>
      <c r="AG37">
        <v>17</v>
      </c>
      <c r="AH37">
        <v>34</v>
      </c>
      <c r="AI37">
        <v>34</v>
      </c>
      <c r="AJ37">
        <v>0</v>
      </c>
      <c r="AK37">
        <v>1</v>
      </c>
      <c r="AL37" t="s">
        <v>599</v>
      </c>
      <c r="AM37" t="s">
        <v>600</v>
      </c>
      <c r="AN37" t="s">
        <v>601</v>
      </c>
      <c r="AO37" t="s">
        <v>602</v>
      </c>
      <c r="AP37" t="s">
        <v>74</v>
      </c>
      <c r="AQ37" t="s">
        <v>74</v>
      </c>
      <c r="AR37" t="s">
        <v>603</v>
      </c>
      <c r="AS37" t="s">
        <v>604</v>
      </c>
      <c r="AT37" t="s">
        <v>74</v>
      </c>
      <c r="AU37">
        <v>1999</v>
      </c>
      <c r="AV37">
        <v>51</v>
      </c>
      <c r="AW37" t="s">
        <v>630</v>
      </c>
      <c r="AX37" t="s">
        <v>74</v>
      </c>
      <c r="AY37" t="s">
        <v>74</v>
      </c>
      <c r="AZ37" t="s">
        <v>74</v>
      </c>
      <c r="BA37" t="s">
        <v>74</v>
      </c>
      <c r="BB37">
        <v>621</v>
      </c>
      <c r="BC37">
        <v>628</v>
      </c>
      <c r="BD37" t="s">
        <v>74</v>
      </c>
      <c r="BE37" t="s">
        <v>631</v>
      </c>
      <c r="BF37" t="str">
        <f>HYPERLINK("http://dx.doi.org/10.1186/BF03353220","http://dx.doi.org/10.1186/BF03353220")</f>
        <v>http://dx.doi.org/10.1186/BF03353220</v>
      </c>
      <c r="BG37" t="s">
        <v>74</v>
      </c>
      <c r="BH37" t="s">
        <v>74</v>
      </c>
      <c r="BI37">
        <v>8</v>
      </c>
      <c r="BJ37" t="s">
        <v>192</v>
      </c>
      <c r="BK37" t="s">
        <v>235</v>
      </c>
      <c r="BL37" t="s">
        <v>193</v>
      </c>
      <c r="BM37" t="s">
        <v>632</v>
      </c>
      <c r="BN37" t="s">
        <v>74</v>
      </c>
      <c r="BO37" t="s">
        <v>633</v>
      </c>
      <c r="BP37" t="s">
        <v>74</v>
      </c>
      <c r="BQ37" t="s">
        <v>74</v>
      </c>
      <c r="BR37" t="s">
        <v>98</v>
      </c>
      <c r="BS37" t="s">
        <v>634</v>
      </c>
      <c r="BT37" t="str">
        <f>HYPERLINK("https%3A%2F%2Fwww.webofscience.com%2Fwos%2Fwoscc%2Ffull-record%2FWOS:000082916200014","View Full Record in Web of Science")</f>
        <v>View Full Record in Web of Science</v>
      </c>
    </row>
    <row r="38" spans="1:72" x14ac:dyDescent="0.15">
      <c r="A38" t="s">
        <v>72</v>
      </c>
      <c r="B38" t="s">
        <v>635</v>
      </c>
      <c r="C38" t="s">
        <v>74</v>
      </c>
      <c r="D38" t="s">
        <v>74</v>
      </c>
      <c r="E38" t="s">
        <v>74</v>
      </c>
      <c r="F38" t="s">
        <v>635</v>
      </c>
      <c r="G38" t="s">
        <v>74</v>
      </c>
      <c r="H38" t="s">
        <v>74</v>
      </c>
      <c r="I38" t="s">
        <v>636</v>
      </c>
      <c r="J38" t="s">
        <v>591</v>
      </c>
      <c r="K38" t="s">
        <v>74</v>
      </c>
      <c r="L38" t="s">
        <v>74</v>
      </c>
      <c r="M38" t="s">
        <v>77</v>
      </c>
      <c r="N38" t="s">
        <v>123</v>
      </c>
      <c r="O38" t="s">
        <v>621</v>
      </c>
      <c r="P38" t="s">
        <v>622</v>
      </c>
      <c r="Q38" t="s">
        <v>623</v>
      </c>
      <c r="R38" t="s">
        <v>74</v>
      </c>
      <c r="S38" t="s">
        <v>624</v>
      </c>
      <c r="T38" t="s">
        <v>74</v>
      </c>
      <c r="U38" t="s">
        <v>637</v>
      </c>
      <c r="V38" t="s">
        <v>638</v>
      </c>
      <c r="W38" t="s">
        <v>639</v>
      </c>
      <c r="X38" t="s">
        <v>628</v>
      </c>
      <c r="Y38" t="s">
        <v>640</v>
      </c>
      <c r="Z38" t="s">
        <v>74</v>
      </c>
      <c r="AA38" t="s">
        <v>74</v>
      </c>
      <c r="AB38" t="s">
        <v>74</v>
      </c>
      <c r="AC38" t="s">
        <v>74</v>
      </c>
      <c r="AD38" t="s">
        <v>74</v>
      </c>
      <c r="AE38" t="s">
        <v>74</v>
      </c>
      <c r="AF38" t="s">
        <v>74</v>
      </c>
      <c r="AG38">
        <v>10</v>
      </c>
      <c r="AH38">
        <v>22</v>
      </c>
      <c r="AI38">
        <v>24</v>
      </c>
      <c r="AJ38">
        <v>0</v>
      </c>
      <c r="AK38">
        <v>3</v>
      </c>
      <c r="AL38" t="s">
        <v>599</v>
      </c>
      <c r="AM38" t="s">
        <v>600</v>
      </c>
      <c r="AN38" t="s">
        <v>601</v>
      </c>
      <c r="AO38" t="s">
        <v>602</v>
      </c>
      <c r="AP38" t="s">
        <v>74</v>
      </c>
      <c r="AQ38" t="s">
        <v>74</v>
      </c>
      <c r="AR38" t="s">
        <v>603</v>
      </c>
      <c r="AS38" t="s">
        <v>604</v>
      </c>
      <c r="AT38" t="s">
        <v>74</v>
      </c>
      <c r="AU38">
        <v>1999</v>
      </c>
      <c r="AV38">
        <v>51</v>
      </c>
      <c r="AW38" t="s">
        <v>630</v>
      </c>
      <c r="AX38" t="s">
        <v>74</v>
      </c>
      <c r="AY38" t="s">
        <v>74</v>
      </c>
      <c r="AZ38" t="s">
        <v>74</v>
      </c>
      <c r="BA38" t="s">
        <v>74</v>
      </c>
      <c r="BB38">
        <v>685</v>
      </c>
      <c r="BC38">
        <v>689</v>
      </c>
      <c r="BD38" t="s">
        <v>74</v>
      </c>
      <c r="BE38" t="s">
        <v>641</v>
      </c>
      <c r="BF38" t="str">
        <f>HYPERLINK("http://dx.doi.org/10.1186/BF03353226","http://dx.doi.org/10.1186/BF03353226")</f>
        <v>http://dx.doi.org/10.1186/BF03353226</v>
      </c>
      <c r="BG38" t="s">
        <v>74</v>
      </c>
      <c r="BH38" t="s">
        <v>74</v>
      </c>
      <c r="BI38">
        <v>5</v>
      </c>
      <c r="BJ38" t="s">
        <v>192</v>
      </c>
      <c r="BK38" t="s">
        <v>235</v>
      </c>
      <c r="BL38" t="s">
        <v>193</v>
      </c>
      <c r="BM38" t="s">
        <v>632</v>
      </c>
      <c r="BN38" t="s">
        <v>74</v>
      </c>
      <c r="BO38" t="s">
        <v>633</v>
      </c>
      <c r="BP38" t="s">
        <v>74</v>
      </c>
      <c r="BQ38" t="s">
        <v>74</v>
      </c>
      <c r="BR38" t="s">
        <v>98</v>
      </c>
      <c r="BS38" t="s">
        <v>642</v>
      </c>
      <c r="BT38" t="str">
        <f>HYPERLINK("https%3A%2F%2Fwww.webofscience.com%2Fwos%2Fwoscc%2Ffull-record%2FWOS:000082916200020","View Full Record in Web of Science")</f>
        <v>View Full Record in Web of Science</v>
      </c>
    </row>
    <row r="39" spans="1:72" x14ac:dyDescent="0.15">
      <c r="A39" t="s">
        <v>72</v>
      </c>
      <c r="B39" t="s">
        <v>643</v>
      </c>
      <c r="C39" t="s">
        <v>74</v>
      </c>
      <c r="D39" t="s">
        <v>74</v>
      </c>
      <c r="E39" t="s">
        <v>74</v>
      </c>
      <c r="F39" t="s">
        <v>643</v>
      </c>
      <c r="G39" t="s">
        <v>74</v>
      </c>
      <c r="H39" t="s">
        <v>74</v>
      </c>
      <c r="I39" t="s">
        <v>644</v>
      </c>
      <c r="J39" t="s">
        <v>645</v>
      </c>
      <c r="K39" t="s">
        <v>74</v>
      </c>
      <c r="L39" t="s">
        <v>74</v>
      </c>
      <c r="M39" t="s">
        <v>77</v>
      </c>
      <c r="N39" t="s">
        <v>103</v>
      </c>
      <c r="O39" t="s">
        <v>74</v>
      </c>
      <c r="P39" t="s">
        <v>74</v>
      </c>
      <c r="Q39" t="s">
        <v>74</v>
      </c>
      <c r="R39" t="s">
        <v>74</v>
      </c>
      <c r="S39" t="s">
        <v>74</v>
      </c>
      <c r="T39" t="s">
        <v>646</v>
      </c>
      <c r="U39" t="s">
        <v>647</v>
      </c>
      <c r="V39" t="s">
        <v>648</v>
      </c>
      <c r="W39" t="s">
        <v>649</v>
      </c>
      <c r="X39" t="s">
        <v>650</v>
      </c>
      <c r="Y39" t="s">
        <v>651</v>
      </c>
      <c r="Z39" t="s">
        <v>652</v>
      </c>
      <c r="AA39" t="s">
        <v>653</v>
      </c>
      <c r="AB39" t="s">
        <v>654</v>
      </c>
      <c r="AC39" t="s">
        <v>74</v>
      </c>
      <c r="AD39" t="s">
        <v>74</v>
      </c>
      <c r="AE39" t="s">
        <v>74</v>
      </c>
      <c r="AF39" t="s">
        <v>74</v>
      </c>
      <c r="AG39">
        <v>84</v>
      </c>
      <c r="AH39">
        <v>99</v>
      </c>
      <c r="AI39">
        <v>113</v>
      </c>
      <c r="AJ39">
        <v>2</v>
      </c>
      <c r="AK39">
        <v>64</v>
      </c>
      <c r="AL39" t="s">
        <v>655</v>
      </c>
      <c r="AM39" t="s">
        <v>656</v>
      </c>
      <c r="AN39" t="s">
        <v>657</v>
      </c>
      <c r="AO39" t="s">
        <v>658</v>
      </c>
      <c r="AP39" t="s">
        <v>659</v>
      </c>
      <c r="AQ39" t="s">
        <v>74</v>
      </c>
      <c r="AR39" t="s">
        <v>645</v>
      </c>
      <c r="AS39" t="s">
        <v>660</v>
      </c>
      <c r="AT39" t="s">
        <v>143</v>
      </c>
      <c r="AU39">
        <v>1999</v>
      </c>
      <c r="AV39">
        <v>80</v>
      </c>
      <c r="AW39">
        <v>1</v>
      </c>
      <c r="AX39" t="s">
        <v>74</v>
      </c>
      <c r="AY39" t="s">
        <v>74</v>
      </c>
      <c r="AZ39" t="s">
        <v>74</v>
      </c>
      <c r="BA39" t="s">
        <v>74</v>
      </c>
      <c r="BB39">
        <v>223</v>
      </c>
      <c r="BC39">
        <v>237</v>
      </c>
      <c r="BD39" t="s">
        <v>74</v>
      </c>
      <c r="BE39" t="s">
        <v>74</v>
      </c>
      <c r="BF39" t="s">
        <v>74</v>
      </c>
      <c r="BG39" t="s">
        <v>74</v>
      </c>
      <c r="BH39" t="s">
        <v>74</v>
      </c>
      <c r="BI39">
        <v>15</v>
      </c>
      <c r="BJ39" t="s">
        <v>660</v>
      </c>
      <c r="BK39" t="s">
        <v>95</v>
      </c>
      <c r="BL39" t="s">
        <v>661</v>
      </c>
      <c r="BM39" t="s">
        <v>662</v>
      </c>
      <c r="BN39" t="s">
        <v>74</v>
      </c>
      <c r="BO39" t="s">
        <v>74</v>
      </c>
      <c r="BP39" t="s">
        <v>74</v>
      </c>
      <c r="BQ39" t="s">
        <v>74</v>
      </c>
      <c r="BR39" t="s">
        <v>98</v>
      </c>
      <c r="BS39" t="s">
        <v>663</v>
      </c>
      <c r="BT39" t="str">
        <f>HYPERLINK("https%3A%2F%2Fwww.webofscience.com%2Fwos%2Fwoscc%2Ffull-record%2FWOS:000078045600017","View Full Record in Web of Science")</f>
        <v>View Full Record in Web of Science</v>
      </c>
    </row>
    <row r="40" spans="1:72" x14ac:dyDescent="0.15">
      <c r="A40" t="s">
        <v>147</v>
      </c>
      <c r="B40" t="s">
        <v>664</v>
      </c>
      <c r="C40" t="s">
        <v>74</v>
      </c>
      <c r="D40" t="s">
        <v>74</v>
      </c>
      <c r="E40" t="s">
        <v>665</v>
      </c>
      <c r="F40" t="s">
        <v>664</v>
      </c>
      <c r="G40" t="s">
        <v>74</v>
      </c>
      <c r="H40" t="s">
        <v>74</v>
      </c>
      <c r="I40" t="s">
        <v>666</v>
      </c>
      <c r="J40" t="s">
        <v>667</v>
      </c>
      <c r="K40" t="s">
        <v>668</v>
      </c>
      <c r="L40" t="s">
        <v>74</v>
      </c>
      <c r="M40" t="s">
        <v>77</v>
      </c>
      <c r="N40" t="s">
        <v>153</v>
      </c>
      <c r="O40" t="s">
        <v>669</v>
      </c>
      <c r="P40" t="s">
        <v>670</v>
      </c>
      <c r="Q40" t="s">
        <v>671</v>
      </c>
      <c r="R40" t="s">
        <v>74</v>
      </c>
      <c r="S40" t="s">
        <v>74</v>
      </c>
      <c r="T40" t="s">
        <v>74</v>
      </c>
      <c r="U40" t="s">
        <v>672</v>
      </c>
      <c r="V40" t="s">
        <v>673</v>
      </c>
      <c r="W40" t="s">
        <v>674</v>
      </c>
      <c r="X40" t="s">
        <v>675</v>
      </c>
      <c r="Y40" t="s">
        <v>676</v>
      </c>
      <c r="Z40" t="s">
        <v>677</v>
      </c>
      <c r="AA40" t="s">
        <v>74</v>
      </c>
      <c r="AB40" t="s">
        <v>74</v>
      </c>
      <c r="AC40" t="s">
        <v>74</v>
      </c>
      <c r="AD40" t="s">
        <v>74</v>
      </c>
      <c r="AE40" t="s">
        <v>74</v>
      </c>
      <c r="AF40" t="s">
        <v>74</v>
      </c>
      <c r="AG40">
        <v>44</v>
      </c>
      <c r="AH40">
        <v>4</v>
      </c>
      <c r="AI40">
        <v>4</v>
      </c>
      <c r="AJ40">
        <v>0</v>
      </c>
      <c r="AK40">
        <v>4</v>
      </c>
      <c r="AL40" t="s">
        <v>678</v>
      </c>
      <c r="AM40" t="s">
        <v>679</v>
      </c>
      <c r="AN40" t="s">
        <v>680</v>
      </c>
      <c r="AO40" t="s">
        <v>74</v>
      </c>
      <c r="AP40" t="s">
        <v>74</v>
      </c>
      <c r="AQ40" t="s">
        <v>681</v>
      </c>
      <c r="AR40" t="s">
        <v>682</v>
      </c>
      <c r="AS40" t="s">
        <v>74</v>
      </c>
      <c r="AT40" t="s">
        <v>74</v>
      </c>
      <c r="AU40">
        <v>1999</v>
      </c>
      <c r="AV40">
        <v>16</v>
      </c>
      <c r="AW40" t="s">
        <v>74</v>
      </c>
      <c r="AX40" t="s">
        <v>74</v>
      </c>
      <c r="AY40" t="s">
        <v>74</v>
      </c>
      <c r="AZ40" t="s">
        <v>74</v>
      </c>
      <c r="BA40" t="s">
        <v>74</v>
      </c>
      <c r="BB40">
        <v>481</v>
      </c>
      <c r="BC40">
        <v>488</v>
      </c>
      <c r="BD40" t="s">
        <v>74</v>
      </c>
      <c r="BE40" t="s">
        <v>74</v>
      </c>
      <c r="BF40" t="s">
        <v>74</v>
      </c>
      <c r="BG40" t="s">
        <v>74</v>
      </c>
      <c r="BH40" t="s">
        <v>74</v>
      </c>
      <c r="BI40">
        <v>8</v>
      </c>
      <c r="BJ40" t="s">
        <v>683</v>
      </c>
      <c r="BK40" t="s">
        <v>171</v>
      </c>
      <c r="BL40" t="s">
        <v>683</v>
      </c>
      <c r="BM40" t="s">
        <v>684</v>
      </c>
      <c r="BN40" t="s">
        <v>74</v>
      </c>
      <c r="BO40" t="s">
        <v>74</v>
      </c>
      <c r="BP40" t="s">
        <v>74</v>
      </c>
      <c r="BQ40" t="s">
        <v>74</v>
      </c>
      <c r="BR40" t="s">
        <v>98</v>
      </c>
      <c r="BS40" t="s">
        <v>685</v>
      </c>
      <c r="BT40" t="str">
        <f>HYPERLINK("https%3A%2F%2Fwww.webofscience.com%2Fwos%2Fwoscc%2Ffull-record%2FWOS:000084758600035","View Full Record in Web of Science")</f>
        <v>View Full Record in Web of Science</v>
      </c>
    </row>
    <row r="41" spans="1:72" x14ac:dyDescent="0.15">
      <c r="A41" t="s">
        <v>147</v>
      </c>
      <c r="B41" t="s">
        <v>686</v>
      </c>
      <c r="C41" t="s">
        <v>74</v>
      </c>
      <c r="D41" t="s">
        <v>687</v>
      </c>
      <c r="E41" t="s">
        <v>74</v>
      </c>
      <c r="F41" t="s">
        <v>686</v>
      </c>
      <c r="G41" t="s">
        <v>74</v>
      </c>
      <c r="H41" t="s">
        <v>74</v>
      </c>
      <c r="I41" t="s">
        <v>688</v>
      </c>
      <c r="J41" t="s">
        <v>689</v>
      </c>
      <c r="K41" t="s">
        <v>690</v>
      </c>
      <c r="L41" t="s">
        <v>74</v>
      </c>
      <c r="M41" t="s">
        <v>77</v>
      </c>
      <c r="N41" t="s">
        <v>153</v>
      </c>
      <c r="O41" t="s">
        <v>691</v>
      </c>
      <c r="P41" t="s">
        <v>692</v>
      </c>
      <c r="Q41" t="s">
        <v>693</v>
      </c>
      <c r="R41" t="s">
        <v>74</v>
      </c>
      <c r="S41" t="s">
        <v>74</v>
      </c>
      <c r="T41" t="s">
        <v>74</v>
      </c>
      <c r="U41" t="s">
        <v>74</v>
      </c>
      <c r="V41" t="s">
        <v>694</v>
      </c>
      <c r="W41" t="s">
        <v>543</v>
      </c>
      <c r="X41" t="s">
        <v>544</v>
      </c>
      <c r="Y41" t="s">
        <v>695</v>
      </c>
      <c r="Z41" t="s">
        <v>74</v>
      </c>
      <c r="AA41" t="s">
        <v>74</v>
      </c>
      <c r="AB41" t="s">
        <v>74</v>
      </c>
      <c r="AC41" t="s">
        <v>74</v>
      </c>
      <c r="AD41" t="s">
        <v>74</v>
      </c>
      <c r="AE41" t="s">
        <v>74</v>
      </c>
      <c r="AF41" t="s">
        <v>74</v>
      </c>
      <c r="AG41">
        <v>2</v>
      </c>
      <c r="AH41">
        <v>1</v>
      </c>
      <c r="AI41">
        <v>1</v>
      </c>
      <c r="AJ41">
        <v>0</v>
      </c>
      <c r="AK41">
        <v>0</v>
      </c>
      <c r="AL41" t="s">
        <v>696</v>
      </c>
      <c r="AM41" t="s">
        <v>697</v>
      </c>
      <c r="AN41" t="s">
        <v>698</v>
      </c>
      <c r="AO41" t="s">
        <v>74</v>
      </c>
      <c r="AP41" t="s">
        <v>74</v>
      </c>
      <c r="AQ41" t="s">
        <v>74</v>
      </c>
      <c r="AR41" t="s">
        <v>699</v>
      </c>
      <c r="AS41" t="s">
        <v>74</v>
      </c>
      <c r="AT41" t="s">
        <v>74</v>
      </c>
      <c r="AU41">
        <v>1999</v>
      </c>
      <c r="AV41" t="s">
        <v>74</v>
      </c>
      <c r="AW41" t="s">
        <v>74</v>
      </c>
      <c r="AX41" t="s">
        <v>74</v>
      </c>
      <c r="AY41" t="s">
        <v>74</v>
      </c>
      <c r="AZ41" t="s">
        <v>74</v>
      </c>
      <c r="BA41" t="s">
        <v>74</v>
      </c>
      <c r="BB41">
        <v>211</v>
      </c>
      <c r="BC41">
        <v>217</v>
      </c>
      <c r="BD41" t="s">
        <v>74</v>
      </c>
      <c r="BE41" t="s">
        <v>74</v>
      </c>
      <c r="BF41" t="s">
        <v>74</v>
      </c>
      <c r="BG41" t="s">
        <v>74</v>
      </c>
      <c r="BH41" t="s">
        <v>74</v>
      </c>
      <c r="BI41">
        <v>7</v>
      </c>
      <c r="BJ41" t="s">
        <v>700</v>
      </c>
      <c r="BK41" t="s">
        <v>171</v>
      </c>
      <c r="BL41" t="s">
        <v>701</v>
      </c>
      <c r="BM41" t="s">
        <v>702</v>
      </c>
      <c r="BN41" t="s">
        <v>74</v>
      </c>
      <c r="BO41" t="s">
        <v>74</v>
      </c>
      <c r="BP41" t="s">
        <v>74</v>
      </c>
      <c r="BQ41" t="s">
        <v>74</v>
      </c>
      <c r="BR41" t="s">
        <v>98</v>
      </c>
      <c r="BS41" t="s">
        <v>703</v>
      </c>
      <c r="BT41" t="str">
        <f>HYPERLINK("https%3A%2F%2Fwww.webofscience.com%2Fwos%2Fwoscc%2Ffull-record%2FWOS:000080598400033","View Full Record in Web of Science")</f>
        <v>View Full Record in Web of Science</v>
      </c>
    </row>
    <row r="42" spans="1:72" x14ac:dyDescent="0.15">
      <c r="A42" t="s">
        <v>147</v>
      </c>
      <c r="B42" t="s">
        <v>704</v>
      </c>
      <c r="C42" t="s">
        <v>74</v>
      </c>
      <c r="D42" t="s">
        <v>687</v>
      </c>
      <c r="E42" t="s">
        <v>74</v>
      </c>
      <c r="F42" t="s">
        <v>704</v>
      </c>
      <c r="G42" t="s">
        <v>74</v>
      </c>
      <c r="H42" t="s">
        <v>74</v>
      </c>
      <c r="I42" t="s">
        <v>705</v>
      </c>
      <c r="J42" t="s">
        <v>689</v>
      </c>
      <c r="K42" t="s">
        <v>690</v>
      </c>
      <c r="L42" t="s">
        <v>74</v>
      </c>
      <c r="M42" t="s">
        <v>77</v>
      </c>
      <c r="N42" t="s">
        <v>153</v>
      </c>
      <c r="O42" t="s">
        <v>691</v>
      </c>
      <c r="P42" t="s">
        <v>692</v>
      </c>
      <c r="Q42" t="s">
        <v>693</v>
      </c>
      <c r="R42" t="s">
        <v>74</v>
      </c>
      <c r="S42" t="s">
        <v>74</v>
      </c>
      <c r="T42" t="s">
        <v>706</v>
      </c>
      <c r="U42" t="s">
        <v>74</v>
      </c>
      <c r="V42" t="s">
        <v>707</v>
      </c>
      <c r="W42" t="s">
        <v>708</v>
      </c>
      <c r="X42" t="s">
        <v>709</v>
      </c>
      <c r="Y42" t="s">
        <v>710</v>
      </c>
      <c r="Z42" t="s">
        <v>74</v>
      </c>
      <c r="AA42" t="s">
        <v>74</v>
      </c>
      <c r="AB42" t="s">
        <v>74</v>
      </c>
      <c r="AC42" t="s">
        <v>74</v>
      </c>
      <c r="AD42" t="s">
        <v>74</v>
      </c>
      <c r="AE42" t="s">
        <v>74</v>
      </c>
      <c r="AF42" t="s">
        <v>74</v>
      </c>
      <c r="AG42">
        <v>0</v>
      </c>
      <c r="AH42">
        <v>0</v>
      </c>
      <c r="AI42">
        <v>0</v>
      </c>
      <c r="AJ42">
        <v>0</v>
      </c>
      <c r="AK42">
        <v>0</v>
      </c>
      <c r="AL42" t="s">
        <v>696</v>
      </c>
      <c r="AM42" t="s">
        <v>697</v>
      </c>
      <c r="AN42" t="s">
        <v>698</v>
      </c>
      <c r="AO42" t="s">
        <v>74</v>
      </c>
      <c r="AP42" t="s">
        <v>74</v>
      </c>
      <c r="AQ42" t="s">
        <v>74</v>
      </c>
      <c r="AR42" t="s">
        <v>699</v>
      </c>
      <c r="AS42" t="s">
        <v>74</v>
      </c>
      <c r="AT42" t="s">
        <v>74</v>
      </c>
      <c r="AU42">
        <v>1999</v>
      </c>
      <c r="AV42" t="s">
        <v>74</v>
      </c>
      <c r="AW42" t="s">
        <v>74</v>
      </c>
      <c r="AX42" t="s">
        <v>74</v>
      </c>
      <c r="AY42" t="s">
        <v>74</v>
      </c>
      <c r="AZ42" t="s">
        <v>74</v>
      </c>
      <c r="BA42" t="s">
        <v>74</v>
      </c>
      <c r="BB42">
        <v>253</v>
      </c>
      <c r="BC42">
        <v>276</v>
      </c>
      <c r="BD42" t="s">
        <v>74</v>
      </c>
      <c r="BE42" t="s">
        <v>74</v>
      </c>
      <c r="BF42" t="s">
        <v>74</v>
      </c>
      <c r="BG42" t="s">
        <v>74</v>
      </c>
      <c r="BH42" t="s">
        <v>74</v>
      </c>
      <c r="BI42">
        <v>24</v>
      </c>
      <c r="BJ42" t="s">
        <v>700</v>
      </c>
      <c r="BK42" t="s">
        <v>171</v>
      </c>
      <c r="BL42" t="s">
        <v>701</v>
      </c>
      <c r="BM42" t="s">
        <v>702</v>
      </c>
      <c r="BN42" t="s">
        <v>74</v>
      </c>
      <c r="BO42" t="s">
        <v>74</v>
      </c>
      <c r="BP42" t="s">
        <v>74</v>
      </c>
      <c r="BQ42" t="s">
        <v>74</v>
      </c>
      <c r="BR42" t="s">
        <v>98</v>
      </c>
      <c r="BS42" t="s">
        <v>711</v>
      </c>
      <c r="BT42" t="str">
        <f>HYPERLINK("https%3A%2F%2Fwww.webofscience.com%2Fwos%2Fwoscc%2Ffull-record%2FWOS:000080598400037","View Full Record in Web of Science")</f>
        <v>View Full Record in Web of Science</v>
      </c>
    </row>
    <row r="43" spans="1:72" x14ac:dyDescent="0.15">
      <c r="A43" t="s">
        <v>147</v>
      </c>
      <c r="B43" t="s">
        <v>712</v>
      </c>
      <c r="C43" t="s">
        <v>74</v>
      </c>
      <c r="D43" t="s">
        <v>687</v>
      </c>
      <c r="E43" t="s">
        <v>74</v>
      </c>
      <c r="F43" t="s">
        <v>712</v>
      </c>
      <c r="G43" t="s">
        <v>74</v>
      </c>
      <c r="H43" t="s">
        <v>74</v>
      </c>
      <c r="I43" t="s">
        <v>713</v>
      </c>
      <c r="J43" t="s">
        <v>689</v>
      </c>
      <c r="K43" t="s">
        <v>690</v>
      </c>
      <c r="L43" t="s">
        <v>74</v>
      </c>
      <c r="M43" t="s">
        <v>77</v>
      </c>
      <c r="N43" t="s">
        <v>153</v>
      </c>
      <c r="O43" t="s">
        <v>691</v>
      </c>
      <c r="P43" t="s">
        <v>692</v>
      </c>
      <c r="Q43" t="s">
        <v>693</v>
      </c>
      <c r="R43" t="s">
        <v>74</v>
      </c>
      <c r="S43" t="s">
        <v>74</v>
      </c>
      <c r="T43" t="s">
        <v>714</v>
      </c>
      <c r="U43" t="s">
        <v>74</v>
      </c>
      <c r="V43" t="s">
        <v>715</v>
      </c>
      <c r="W43" t="s">
        <v>716</v>
      </c>
      <c r="X43" t="s">
        <v>243</v>
      </c>
      <c r="Y43" t="s">
        <v>717</v>
      </c>
      <c r="Z43" t="s">
        <v>74</v>
      </c>
      <c r="AA43" t="s">
        <v>74</v>
      </c>
      <c r="AB43" t="s">
        <v>74</v>
      </c>
      <c r="AC43" t="s">
        <v>74</v>
      </c>
      <c r="AD43" t="s">
        <v>74</v>
      </c>
      <c r="AE43" t="s">
        <v>74</v>
      </c>
      <c r="AF43" t="s">
        <v>74</v>
      </c>
      <c r="AG43">
        <v>43</v>
      </c>
      <c r="AH43">
        <v>0</v>
      </c>
      <c r="AI43">
        <v>0</v>
      </c>
      <c r="AJ43">
        <v>0</v>
      </c>
      <c r="AK43">
        <v>0</v>
      </c>
      <c r="AL43" t="s">
        <v>696</v>
      </c>
      <c r="AM43" t="s">
        <v>697</v>
      </c>
      <c r="AN43" t="s">
        <v>698</v>
      </c>
      <c r="AO43" t="s">
        <v>74</v>
      </c>
      <c r="AP43" t="s">
        <v>74</v>
      </c>
      <c r="AQ43" t="s">
        <v>74</v>
      </c>
      <c r="AR43" t="s">
        <v>699</v>
      </c>
      <c r="AS43" t="s">
        <v>74</v>
      </c>
      <c r="AT43" t="s">
        <v>74</v>
      </c>
      <c r="AU43">
        <v>1999</v>
      </c>
      <c r="AV43" t="s">
        <v>74</v>
      </c>
      <c r="AW43" t="s">
        <v>74</v>
      </c>
      <c r="AX43" t="s">
        <v>74</v>
      </c>
      <c r="AY43" t="s">
        <v>74</v>
      </c>
      <c r="AZ43" t="s">
        <v>74</v>
      </c>
      <c r="BA43" t="s">
        <v>74</v>
      </c>
      <c r="BB43">
        <v>377</v>
      </c>
      <c r="BC43">
        <v>394</v>
      </c>
      <c r="BD43" t="s">
        <v>74</v>
      </c>
      <c r="BE43" t="s">
        <v>74</v>
      </c>
      <c r="BF43" t="s">
        <v>74</v>
      </c>
      <c r="BG43" t="s">
        <v>74</v>
      </c>
      <c r="BH43" t="s">
        <v>74</v>
      </c>
      <c r="BI43">
        <v>18</v>
      </c>
      <c r="BJ43" t="s">
        <v>700</v>
      </c>
      <c r="BK43" t="s">
        <v>171</v>
      </c>
      <c r="BL43" t="s">
        <v>701</v>
      </c>
      <c r="BM43" t="s">
        <v>702</v>
      </c>
      <c r="BN43" t="s">
        <v>74</v>
      </c>
      <c r="BO43" t="s">
        <v>74</v>
      </c>
      <c r="BP43" t="s">
        <v>74</v>
      </c>
      <c r="BQ43" t="s">
        <v>74</v>
      </c>
      <c r="BR43" t="s">
        <v>98</v>
      </c>
      <c r="BS43" t="s">
        <v>718</v>
      </c>
      <c r="BT43" t="str">
        <f>HYPERLINK("https%3A%2F%2Fwww.webofscience.com%2Fwos%2Fwoscc%2Ffull-record%2FWOS:000080598400051","View Full Record in Web of Science")</f>
        <v>View Full Record in Web of Science</v>
      </c>
    </row>
    <row r="44" spans="1:72" x14ac:dyDescent="0.15">
      <c r="A44" t="s">
        <v>72</v>
      </c>
      <c r="B44" t="s">
        <v>719</v>
      </c>
      <c r="C44" t="s">
        <v>74</v>
      </c>
      <c r="D44" t="s">
        <v>74</v>
      </c>
      <c r="E44" t="s">
        <v>74</v>
      </c>
      <c r="F44" t="s">
        <v>719</v>
      </c>
      <c r="G44" t="s">
        <v>74</v>
      </c>
      <c r="H44" t="s">
        <v>74</v>
      </c>
      <c r="I44" t="s">
        <v>720</v>
      </c>
      <c r="J44" t="s">
        <v>721</v>
      </c>
      <c r="K44" t="s">
        <v>74</v>
      </c>
      <c r="L44" t="s">
        <v>74</v>
      </c>
      <c r="M44" t="s">
        <v>77</v>
      </c>
      <c r="N44" t="s">
        <v>103</v>
      </c>
      <c r="O44" t="s">
        <v>74</v>
      </c>
      <c r="P44" t="s">
        <v>74</v>
      </c>
      <c r="Q44" t="s">
        <v>74</v>
      </c>
      <c r="R44" t="s">
        <v>74</v>
      </c>
      <c r="S44" t="s">
        <v>74</v>
      </c>
      <c r="T44" t="s">
        <v>722</v>
      </c>
      <c r="U44" t="s">
        <v>723</v>
      </c>
      <c r="V44" t="s">
        <v>724</v>
      </c>
      <c r="W44" t="s">
        <v>725</v>
      </c>
      <c r="X44" t="s">
        <v>562</v>
      </c>
      <c r="Y44" t="s">
        <v>726</v>
      </c>
      <c r="Z44" t="s">
        <v>727</v>
      </c>
      <c r="AA44" t="s">
        <v>728</v>
      </c>
      <c r="AB44" t="s">
        <v>74</v>
      </c>
      <c r="AC44" t="s">
        <v>74</v>
      </c>
      <c r="AD44" t="s">
        <v>74</v>
      </c>
      <c r="AE44" t="s">
        <v>74</v>
      </c>
      <c r="AF44" t="s">
        <v>74</v>
      </c>
      <c r="AG44">
        <v>44</v>
      </c>
      <c r="AH44">
        <v>46</v>
      </c>
      <c r="AI44">
        <v>48</v>
      </c>
      <c r="AJ44">
        <v>1</v>
      </c>
      <c r="AK44">
        <v>15</v>
      </c>
      <c r="AL44" t="s">
        <v>729</v>
      </c>
      <c r="AM44" t="s">
        <v>229</v>
      </c>
      <c r="AN44" t="s">
        <v>730</v>
      </c>
      <c r="AO44" t="s">
        <v>731</v>
      </c>
      <c r="AP44" t="s">
        <v>74</v>
      </c>
      <c r="AQ44" t="s">
        <v>74</v>
      </c>
      <c r="AR44" t="s">
        <v>732</v>
      </c>
      <c r="AS44" t="s">
        <v>733</v>
      </c>
      <c r="AT44" t="s">
        <v>74</v>
      </c>
      <c r="AU44">
        <v>1999</v>
      </c>
      <c r="AV44">
        <v>14</v>
      </c>
      <c r="AW44">
        <v>4</v>
      </c>
      <c r="AX44" t="s">
        <v>74</v>
      </c>
      <c r="AY44" t="s">
        <v>74</v>
      </c>
      <c r="AZ44" t="s">
        <v>74</v>
      </c>
      <c r="BA44" t="s">
        <v>74</v>
      </c>
      <c r="BB44">
        <v>227</v>
      </c>
      <c r="BC44">
        <v>241</v>
      </c>
      <c r="BD44" t="s">
        <v>74</v>
      </c>
      <c r="BE44" t="s">
        <v>734</v>
      </c>
      <c r="BF44" t="str">
        <f>HYPERLINK("http://dx.doi.org/10.1016/S1364-8152(98)00075-9","http://dx.doi.org/10.1016/S1364-8152(98)00075-9")</f>
        <v>http://dx.doi.org/10.1016/S1364-8152(98)00075-9</v>
      </c>
      <c r="BG44" t="s">
        <v>74</v>
      </c>
      <c r="BH44" t="s">
        <v>74</v>
      </c>
      <c r="BI44">
        <v>15</v>
      </c>
      <c r="BJ44" t="s">
        <v>735</v>
      </c>
      <c r="BK44" t="s">
        <v>95</v>
      </c>
      <c r="BL44" t="s">
        <v>736</v>
      </c>
      <c r="BM44" t="s">
        <v>737</v>
      </c>
      <c r="BN44" t="s">
        <v>74</v>
      </c>
      <c r="BO44" t="s">
        <v>74</v>
      </c>
      <c r="BP44" t="s">
        <v>74</v>
      </c>
      <c r="BQ44" t="s">
        <v>74</v>
      </c>
      <c r="BR44" t="s">
        <v>98</v>
      </c>
      <c r="BS44" t="s">
        <v>738</v>
      </c>
      <c r="BT44" t="str">
        <f>HYPERLINK("https%3A%2F%2Fwww.webofscience.com%2Fwos%2Fwoscc%2Ffull-record%2FWOS:000078862400002","View Full Record in Web of Science")</f>
        <v>View Full Record in Web of Science</v>
      </c>
    </row>
    <row r="45" spans="1:72" x14ac:dyDescent="0.15">
      <c r="A45" t="s">
        <v>72</v>
      </c>
      <c r="B45" t="s">
        <v>739</v>
      </c>
      <c r="C45" t="s">
        <v>74</v>
      </c>
      <c r="D45" t="s">
        <v>74</v>
      </c>
      <c r="E45" t="s">
        <v>74</v>
      </c>
      <c r="F45" t="s">
        <v>739</v>
      </c>
      <c r="G45" t="s">
        <v>74</v>
      </c>
      <c r="H45" t="s">
        <v>74</v>
      </c>
      <c r="I45" t="s">
        <v>740</v>
      </c>
      <c r="J45" t="s">
        <v>721</v>
      </c>
      <c r="K45" t="s">
        <v>74</v>
      </c>
      <c r="L45" t="s">
        <v>74</v>
      </c>
      <c r="M45" t="s">
        <v>77</v>
      </c>
      <c r="N45" t="s">
        <v>103</v>
      </c>
      <c r="O45" t="s">
        <v>74</v>
      </c>
      <c r="P45" t="s">
        <v>74</v>
      </c>
      <c r="Q45" t="s">
        <v>74</v>
      </c>
      <c r="R45" t="s">
        <v>74</v>
      </c>
      <c r="S45" t="s">
        <v>74</v>
      </c>
      <c r="T45" t="s">
        <v>741</v>
      </c>
      <c r="U45" t="s">
        <v>742</v>
      </c>
      <c r="V45" t="s">
        <v>743</v>
      </c>
      <c r="W45" t="s">
        <v>744</v>
      </c>
      <c r="X45" t="s">
        <v>74</v>
      </c>
      <c r="Y45" t="s">
        <v>745</v>
      </c>
      <c r="Z45" t="s">
        <v>74</v>
      </c>
      <c r="AA45" t="s">
        <v>746</v>
      </c>
      <c r="AB45" t="s">
        <v>747</v>
      </c>
      <c r="AC45" t="s">
        <v>74</v>
      </c>
      <c r="AD45" t="s">
        <v>74</v>
      </c>
      <c r="AE45" t="s">
        <v>74</v>
      </c>
      <c r="AF45" t="s">
        <v>74</v>
      </c>
      <c r="AG45">
        <v>45</v>
      </c>
      <c r="AH45">
        <v>8</v>
      </c>
      <c r="AI45">
        <v>8</v>
      </c>
      <c r="AJ45">
        <v>0</v>
      </c>
      <c r="AK45">
        <v>1</v>
      </c>
      <c r="AL45" t="s">
        <v>729</v>
      </c>
      <c r="AM45" t="s">
        <v>229</v>
      </c>
      <c r="AN45" t="s">
        <v>730</v>
      </c>
      <c r="AO45" t="s">
        <v>731</v>
      </c>
      <c r="AP45" t="s">
        <v>748</v>
      </c>
      <c r="AQ45" t="s">
        <v>74</v>
      </c>
      <c r="AR45" t="s">
        <v>732</v>
      </c>
      <c r="AS45" t="s">
        <v>733</v>
      </c>
      <c r="AT45" t="s">
        <v>74</v>
      </c>
      <c r="AU45">
        <v>1999</v>
      </c>
      <c r="AV45">
        <v>14</v>
      </c>
      <c r="AW45">
        <v>4</v>
      </c>
      <c r="AX45" t="s">
        <v>74</v>
      </c>
      <c r="AY45" t="s">
        <v>74</v>
      </c>
      <c r="AZ45" t="s">
        <v>74</v>
      </c>
      <c r="BA45" t="s">
        <v>74</v>
      </c>
      <c r="BB45">
        <v>317</v>
      </c>
      <c r="BC45">
        <v>326</v>
      </c>
      <c r="BD45" t="s">
        <v>74</v>
      </c>
      <c r="BE45" t="s">
        <v>749</v>
      </c>
      <c r="BF45" t="str">
        <f>HYPERLINK("http://dx.doi.org/10.1016/S1364-8152(98)00083-8","http://dx.doi.org/10.1016/S1364-8152(98)00083-8")</f>
        <v>http://dx.doi.org/10.1016/S1364-8152(98)00083-8</v>
      </c>
      <c r="BG45" t="s">
        <v>74</v>
      </c>
      <c r="BH45" t="s">
        <v>74</v>
      </c>
      <c r="BI45">
        <v>10</v>
      </c>
      <c r="BJ45" t="s">
        <v>735</v>
      </c>
      <c r="BK45" t="s">
        <v>95</v>
      </c>
      <c r="BL45" t="s">
        <v>736</v>
      </c>
      <c r="BM45" t="s">
        <v>737</v>
      </c>
      <c r="BN45" t="s">
        <v>74</v>
      </c>
      <c r="BO45" t="s">
        <v>74</v>
      </c>
      <c r="BP45" t="s">
        <v>74</v>
      </c>
      <c r="BQ45" t="s">
        <v>74</v>
      </c>
      <c r="BR45" t="s">
        <v>98</v>
      </c>
      <c r="BS45" t="s">
        <v>750</v>
      </c>
      <c r="BT45" t="str">
        <f>HYPERLINK("https%3A%2F%2Fwww.webofscience.com%2Fwos%2Fwoscc%2Ffull-record%2FWOS:000078862400010","View Full Record in Web of Science")</f>
        <v>View Full Record in Web of Science</v>
      </c>
    </row>
    <row r="46" spans="1:72" x14ac:dyDescent="0.15">
      <c r="A46" t="s">
        <v>147</v>
      </c>
      <c r="B46" t="s">
        <v>751</v>
      </c>
      <c r="C46" t="s">
        <v>74</v>
      </c>
      <c r="D46" t="s">
        <v>752</v>
      </c>
      <c r="E46" t="s">
        <v>74</v>
      </c>
      <c r="F46" t="s">
        <v>751</v>
      </c>
      <c r="G46" t="s">
        <v>74</v>
      </c>
      <c r="H46" t="s">
        <v>74</v>
      </c>
      <c r="I46" t="s">
        <v>753</v>
      </c>
      <c r="J46" t="s">
        <v>754</v>
      </c>
      <c r="K46" t="s">
        <v>152</v>
      </c>
      <c r="L46" t="s">
        <v>74</v>
      </c>
      <c r="M46" t="s">
        <v>77</v>
      </c>
      <c r="N46" t="s">
        <v>153</v>
      </c>
      <c r="O46" t="s">
        <v>755</v>
      </c>
      <c r="P46" t="s">
        <v>756</v>
      </c>
      <c r="Q46" t="s">
        <v>757</v>
      </c>
      <c r="R46" t="s">
        <v>74</v>
      </c>
      <c r="S46" t="s">
        <v>74</v>
      </c>
      <c r="T46" t="s">
        <v>758</v>
      </c>
      <c r="U46" t="s">
        <v>74</v>
      </c>
      <c r="V46" t="s">
        <v>759</v>
      </c>
      <c r="W46" t="s">
        <v>760</v>
      </c>
      <c r="X46" t="s">
        <v>761</v>
      </c>
      <c r="Y46" t="s">
        <v>762</v>
      </c>
      <c r="Z46" t="s">
        <v>74</v>
      </c>
      <c r="AA46" t="s">
        <v>74</v>
      </c>
      <c r="AB46" t="s">
        <v>763</v>
      </c>
      <c r="AC46" t="s">
        <v>74</v>
      </c>
      <c r="AD46" t="s">
        <v>74</v>
      </c>
      <c r="AE46" t="s">
        <v>74</v>
      </c>
      <c r="AF46" t="s">
        <v>74</v>
      </c>
      <c r="AG46">
        <v>14</v>
      </c>
      <c r="AH46">
        <v>2</v>
      </c>
      <c r="AI46">
        <v>2</v>
      </c>
      <c r="AJ46">
        <v>2</v>
      </c>
      <c r="AK46">
        <v>5</v>
      </c>
      <c r="AL46" t="s">
        <v>163</v>
      </c>
      <c r="AM46" t="s">
        <v>164</v>
      </c>
      <c r="AN46" t="s">
        <v>165</v>
      </c>
      <c r="AO46" t="s">
        <v>166</v>
      </c>
      <c r="AP46" t="s">
        <v>74</v>
      </c>
      <c r="AQ46" t="s">
        <v>764</v>
      </c>
      <c r="AR46" t="s">
        <v>168</v>
      </c>
      <c r="AS46" t="s">
        <v>74</v>
      </c>
      <c r="AT46" t="s">
        <v>74</v>
      </c>
      <c r="AU46">
        <v>1999</v>
      </c>
      <c r="AV46">
        <v>3534</v>
      </c>
      <c r="AW46" t="s">
        <v>74</v>
      </c>
      <c r="AX46" t="s">
        <v>74</v>
      </c>
      <c r="AY46" t="s">
        <v>74</v>
      </c>
      <c r="AZ46" t="s">
        <v>74</v>
      </c>
      <c r="BA46" t="s">
        <v>74</v>
      </c>
      <c r="BB46">
        <v>359</v>
      </c>
      <c r="BC46">
        <v>369</v>
      </c>
      <c r="BD46" t="s">
        <v>74</v>
      </c>
      <c r="BE46" t="s">
        <v>765</v>
      </c>
      <c r="BF46" t="str">
        <f>HYPERLINK("http://dx.doi.org/10.1117/12.339015","http://dx.doi.org/10.1117/12.339015")</f>
        <v>http://dx.doi.org/10.1117/12.339015</v>
      </c>
      <c r="BG46" t="s">
        <v>74</v>
      </c>
      <c r="BH46" t="s">
        <v>74</v>
      </c>
      <c r="BI46">
        <v>11</v>
      </c>
      <c r="BJ46" t="s">
        <v>766</v>
      </c>
      <c r="BK46" t="s">
        <v>171</v>
      </c>
      <c r="BL46" t="s">
        <v>767</v>
      </c>
      <c r="BM46" t="s">
        <v>768</v>
      </c>
      <c r="BN46" t="s">
        <v>74</v>
      </c>
      <c r="BO46" t="s">
        <v>74</v>
      </c>
      <c r="BP46" t="s">
        <v>74</v>
      </c>
      <c r="BQ46" t="s">
        <v>74</v>
      </c>
      <c r="BR46" t="s">
        <v>98</v>
      </c>
      <c r="BS46" t="s">
        <v>769</v>
      </c>
      <c r="BT46" t="str">
        <f>HYPERLINK("https%3A%2F%2Fwww.webofscience.com%2Fwos%2Fwoscc%2Ffull-record%2FWOS:000079845100038","View Full Record in Web of Science")</f>
        <v>View Full Record in Web of Science</v>
      </c>
    </row>
    <row r="47" spans="1:72" x14ac:dyDescent="0.15">
      <c r="A47" t="s">
        <v>147</v>
      </c>
      <c r="B47" t="s">
        <v>751</v>
      </c>
      <c r="C47" t="s">
        <v>74</v>
      </c>
      <c r="D47" t="s">
        <v>770</v>
      </c>
      <c r="E47" t="s">
        <v>74</v>
      </c>
      <c r="F47" t="s">
        <v>751</v>
      </c>
      <c r="G47" t="s">
        <v>74</v>
      </c>
      <c r="H47" t="s">
        <v>74</v>
      </c>
      <c r="I47" t="s">
        <v>771</v>
      </c>
      <c r="J47" t="s">
        <v>772</v>
      </c>
      <c r="K47" t="s">
        <v>152</v>
      </c>
      <c r="L47" t="s">
        <v>74</v>
      </c>
      <c r="M47" t="s">
        <v>77</v>
      </c>
      <c r="N47" t="s">
        <v>153</v>
      </c>
      <c r="O47" t="s">
        <v>773</v>
      </c>
      <c r="P47" t="s">
        <v>774</v>
      </c>
      <c r="Q47" t="s">
        <v>775</v>
      </c>
      <c r="R47" t="s">
        <v>74</v>
      </c>
      <c r="S47" t="s">
        <v>74</v>
      </c>
      <c r="T47" t="s">
        <v>776</v>
      </c>
      <c r="U47" t="s">
        <v>777</v>
      </c>
      <c r="V47" t="s">
        <v>778</v>
      </c>
      <c r="W47" t="s">
        <v>779</v>
      </c>
      <c r="X47" t="s">
        <v>761</v>
      </c>
      <c r="Y47" t="s">
        <v>780</v>
      </c>
      <c r="Z47" t="s">
        <v>74</v>
      </c>
      <c r="AA47" t="s">
        <v>74</v>
      </c>
      <c r="AB47" t="s">
        <v>763</v>
      </c>
      <c r="AC47" t="s">
        <v>74</v>
      </c>
      <c r="AD47" t="s">
        <v>74</v>
      </c>
      <c r="AE47" t="s">
        <v>74</v>
      </c>
      <c r="AF47" t="s">
        <v>74</v>
      </c>
      <c r="AG47">
        <v>20</v>
      </c>
      <c r="AH47">
        <v>0</v>
      </c>
      <c r="AI47">
        <v>0</v>
      </c>
      <c r="AJ47">
        <v>1</v>
      </c>
      <c r="AK47">
        <v>1</v>
      </c>
      <c r="AL47" t="s">
        <v>163</v>
      </c>
      <c r="AM47" t="s">
        <v>164</v>
      </c>
      <c r="AN47" t="s">
        <v>165</v>
      </c>
      <c r="AO47" t="s">
        <v>166</v>
      </c>
      <c r="AP47" t="s">
        <v>74</v>
      </c>
      <c r="AQ47" t="s">
        <v>781</v>
      </c>
      <c r="AR47" t="s">
        <v>168</v>
      </c>
      <c r="AS47" t="s">
        <v>74</v>
      </c>
      <c r="AT47" t="s">
        <v>74</v>
      </c>
      <c r="AU47">
        <v>1999</v>
      </c>
      <c r="AV47">
        <v>3821</v>
      </c>
      <c r="AW47" t="s">
        <v>74</v>
      </c>
      <c r="AX47" t="s">
        <v>74</v>
      </c>
      <c r="AY47" t="s">
        <v>74</v>
      </c>
      <c r="AZ47" t="s">
        <v>74</v>
      </c>
      <c r="BA47" t="s">
        <v>74</v>
      </c>
      <c r="BB47">
        <v>228</v>
      </c>
      <c r="BC47">
        <v>236</v>
      </c>
      <c r="BD47" t="s">
        <v>74</v>
      </c>
      <c r="BE47" t="s">
        <v>782</v>
      </c>
      <c r="BF47" t="str">
        <f>HYPERLINK("http://dx.doi.org/10.1117/12.364184","http://dx.doi.org/10.1117/12.364184")</f>
        <v>http://dx.doi.org/10.1117/12.364184</v>
      </c>
      <c r="BG47" t="s">
        <v>74</v>
      </c>
      <c r="BH47" t="s">
        <v>74</v>
      </c>
      <c r="BI47">
        <v>9</v>
      </c>
      <c r="BJ47" t="s">
        <v>783</v>
      </c>
      <c r="BK47" t="s">
        <v>171</v>
      </c>
      <c r="BL47" t="s">
        <v>784</v>
      </c>
      <c r="BM47" t="s">
        <v>785</v>
      </c>
      <c r="BN47" t="s">
        <v>74</v>
      </c>
      <c r="BO47" t="s">
        <v>74</v>
      </c>
      <c r="BP47" t="s">
        <v>74</v>
      </c>
      <c r="BQ47" t="s">
        <v>74</v>
      </c>
      <c r="BR47" t="s">
        <v>98</v>
      </c>
      <c r="BS47" t="s">
        <v>786</v>
      </c>
      <c r="BT47" t="str">
        <f>HYPERLINK("https%3A%2F%2Fwww.webofscience.com%2Fwos%2Fwoscc%2Ffull-record%2FWOS:000083674500025","View Full Record in Web of Science")</f>
        <v>View Full Record in Web of Science</v>
      </c>
    </row>
    <row r="48" spans="1:72" x14ac:dyDescent="0.15">
      <c r="A48" t="s">
        <v>147</v>
      </c>
      <c r="B48" t="s">
        <v>787</v>
      </c>
      <c r="C48" t="s">
        <v>74</v>
      </c>
      <c r="D48" t="s">
        <v>770</v>
      </c>
      <c r="E48" t="s">
        <v>74</v>
      </c>
      <c r="F48" t="s">
        <v>787</v>
      </c>
      <c r="G48" t="s">
        <v>74</v>
      </c>
      <c r="H48" t="s">
        <v>74</v>
      </c>
      <c r="I48" t="s">
        <v>788</v>
      </c>
      <c r="J48" t="s">
        <v>772</v>
      </c>
      <c r="K48" t="s">
        <v>152</v>
      </c>
      <c r="L48" t="s">
        <v>74</v>
      </c>
      <c r="M48" t="s">
        <v>77</v>
      </c>
      <c r="N48" t="s">
        <v>153</v>
      </c>
      <c r="O48" t="s">
        <v>773</v>
      </c>
      <c r="P48" t="s">
        <v>774</v>
      </c>
      <c r="Q48" t="s">
        <v>775</v>
      </c>
      <c r="R48" t="s">
        <v>74</v>
      </c>
      <c r="S48" t="s">
        <v>74</v>
      </c>
      <c r="T48" t="s">
        <v>789</v>
      </c>
      <c r="U48" t="s">
        <v>790</v>
      </c>
      <c r="V48" t="s">
        <v>791</v>
      </c>
      <c r="W48" t="s">
        <v>779</v>
      </c>
      <c r="X48" t="s">
        <v>761</v>
      </c>
      <c r="Y48" t="s">
        <v>780</v>
      </c>
      <c r="Z48" t="s">
        <v>74</v>
      </c>
      <c r="AA48" t="s">
        <v>792</v>
      </c>
      <c r="AB48" t="s">
        <v>793</v>
      </c>
      <c r="AC48" t="s">
        <v>74</v>
      </c>
      <c r="AD48" t="s">
        <v>74</v>
      </c>
      <c r="AE48" t="s">
        <v>74</v>
      </c>
      <c r="AF48" t="s">
        <v>74</v>
      </c>
      <c r="AG48">
        <v>19</v>
      </c>
      <c r="AH48">
        <v>2</v>
      </c>
      <c r="AI48">
        <v>2</v>
      </c>
      <c r="AJ48">
        <v>0</v>
      </c>
      <c r="AK48">
        <v>0</v>
      </c>
      <c r="AL48" t="s">
        <v>163</v>
      </c>
      <c r="AM48" t="s">
        <v>164</v>
      </c>
      <c r="AN48" t="s">
        <v>165</v>
      </c>
      <c r="AO48" t="s">
        <v>166</v>
      </c>
      <c r="AP48" t="s">
        <v>74</v>
      </c>
      <c r="AQ48" t="s">
        <v>781</v>
      </c>
      <c r="AR48" t="s">
        <v>168</v>
      </c>
      <c r="AS48" t="s">
        <v>74</v>
      </c>
      <c r="AT48" t="s">
        <v>74</v>
      </c>
      <c r="AU48">
        <v>1999</v>
      </c>
      <c r="AV48">
        <v>3821</v>
      </c>
      <c r="AW48" t="s">
        <v>74</v>
      </c>
      <c r="AX48" t="s">
        <v>74</v>
      </c>
      <c r="AY48" t="s">
        <v>74</v>
      </c>
      <c r="AZ48" t="s">
        <v>74</v>
      </c>
      <c r="BA48" t="s">
        <v>74</v>
      </c>
      <c r="BB48">
        <v>237</v>
      </c>
      <c r="BC48">
        <v>247</v>
      </c>
      <c r="BD48" t="s">
        <v>74</v>
      </c>
      <c r="BE48" t="s">
        <v>794</v>
      </c>
      <c r="BF48" t="str">
        <f>HYPERLINK("http://dx.doi.org/10.1117/12.364185","http://dx.doi.org/10.1117/12.364185")</f>
        <v>http://dx.doi.org/10.1117/12.364185</v>
      </c>
      <c r="BG48" t="s">
        <v>74</v>
      </c>
      <c r="BH48" t="s">
        <v>74</v>
      </c>
      <c r="BI48">
        <v>11</v>
      </c>
      <c r="BJ48" t="s">
        <v>783</v>
      </c>
      <c r="BK48" t="s">
        <v>171</v>
      </c>
      <c r="BL48" t="s">
        <v>784</v>
      </c>
      <c r="BM48" t="s">
        <v>785</v>
      </c>
      <c r="BN48" t="s">
        <v>74</v>
      </c>
      <c r="BO48" t="s">
        <v>74</v>
      </c>
      <c r="BP48" t="s">
        <v>74</v>
      </c>
      <c r="BQ48" t="s">
        <v>74</v>
      </c>
      <c r="BR48" t="s">
        <v>98</v>
      </c>
      <c r="BS48" t="s">
        <v>795</v>
      </c>
      <c r="BT48" t="str">
        <f>HYPERLINK("https%3A%2F%2Fwww.webofscience.com%2Fwos%2Fwoscc%2Ffull-record%2FWOS:000083674500026","View Full Record in Web of Science")</f>
        <v>View Full Record in Web of Science</v>
      </c>
    </row>
    <row r="49" spans="1:72" x14ac:dyDescent="0.15">
      <c r="A49" t="s">
        <v>72</v>
      </c>
      <c r="B49" t="s">
        <v>796</v>
      </c>
      <c r="C49" t="s">
        <v>74</v>
      </c>
      <c r="D49" t="s">
        <v>74</v>
      </c>
      <c r="E49" t="s">
        <v>74</v>
      </c>
      <c r="F49" t="s">
        <v>796</v>
      </c>
      <c r="G49" t="s">
        <v>74</v>
      </c>
      <c r="H49" t="s">
        <v>74</v>
      </c>
      <c r="I49" t="s">
        <v>797</v>
      </c>
      <c r="J49" t="s">
        <v>798</v>
      </c>
      <c r="K49" t="s">
        <v>74</v>
      </c>
      <c r="L49" t="s">
        <v>74</v>
      </c>
      <c r="M49" t="s">
        <v>77</v>
      </c>
      <c r="N49" t="s">
        <v>103</v>
      </c>
      <c r="O49" t="s">
        <v>74</v>
      </c>
      <c r="P49" t="s">
        <v>74</v>
      </c>
      <c r="Q49" t="s">
        <v>74</v>
      </c>
      <c r="R49" t="s">
        <v>74</v>
      </c>
      <c r="S49" t="s">
        <v>74</v>
      </c>
      <c r="T49" t="s">
        <v>799</v>
      </c>
      <c r="U49" t="s">
        <v>800</v>
      </c>
      <c r="V49" t="s">
        <v>801</v>
      </c>
      <c r="W49" t="s">
        <v>802</v>
      </c>
      <c r="X49" t="s">
        <v>803</v>
      </c>
      <c r="Y49" t="s">
        <v>804</v>
      </c>
      <c r="Z49" t="s">
        <v>74</v>
      </c>
      <c r="AA49" t="s">
        <v>74</v>
      </c>
      <c r="AB49" t="s">
        <v>74</v>
      </c>
      <c r="AC49" t="s">
        <v>74</v>
      </c>
      <c r="AD49" t="s">
        <v>74</v>
      </c>
      <c r="AE49" t="s">
        <v>74</v>
      </c>
      <c r="AF49" t="s">
        <v>74</v>
      </c>
      <c r="AG49">
        <v>43</v>
      </c>
      <c r="AH49">
        <v>15</v>
      </c>
      <c r="AI49">
        <v>15</v>
      </c>
      <c r="AJ49">
        <v>0</v>
      </c>
      <c r="AK49">
        <v>1</v>
      </c>
      <c r="AL49" t="s">
        <v>805</v>
      </c>
      <c r="AM49" t="s">
        <v>278</v>
      </c>
      <c r="AN49" t="s">
        <v>806</v>
      </c>
      <c r="AO49" t="s">
        <v>807</v>
      </c>
      <c r="AP49" t="s">
        <v>808</v>
      </c>
      <c r="AQ49" t="s">
        <v>74</v>
      </c>
      <c r="AR49" t="s">
        <v>809</v>
      </c>
      <c r="AS49" t="s">
        <v>810</v>
      </c>
      <c r="AT49" t="s">
        <v>143</v>
      </c>
      <c r="AU49">
        <v>1999</v>
      </c>
      <c r="AV49">
        <v>79</v>
      </c>
      <c r="AW49">
        <v>2</v>
      </c>
      <c r="AX49" t="s">
        <v>74</v>
      </c>
      <c r="AY49" t="s">
        <v>74</v>
      </c>
      <c r="AZ49" t="s">
        <v>74</v>
      </c>
      <c r="BA49" t="s">
        <v>74</v>
      </c>
      <c r="BB49">
        <v>141</v>
      </c>
      <c r="BC49">
        <v>147</v>
      </c>
      <c r="BD49" t="s">
        <v>74</v>
      </c>
      <c r="BE49" t="s">
        <v>811</v>
      </c>
      <c r="BF49" t="str">
        <f>HYPERLINK("http://dx.doi.org/10.1007/s004210050487","http://dx.doi.org/10.1007/s004210050487")</f>
        <v>http://dx.doi.org/10.1007/s004210050487</v>
      </c>
      <c r="BG49" t="s">
        <v>74</v>
      </c>
      <c r="BH49" t="s">
        <v>74</v>
      </c>
      <c r="BI49">
        <v>7</v>
      </c>
      <c r="BJ49" t="s">
        <v>812</v>
      </c>
      <c r="BK49" t="s">
        <v>95</v>
      </c>
      <c r="BL49" t="s">
        <v>812</v>
      </c>
      <c r="BM49" t="s">
        <v>813</v>
      </c>
      <c r="BN49">
        <v>10029334</v>
      </c>
      <c r="BO49" t="s">
        <v>74</v>
      </c>
      <c r="BP49" t="s">
        <v>74</v>
      </c>
      <c r="BQ49" t="s">
        <v>74</v>
      </c>
      <c r="BR49" t="s">
        <v>98</v>
      </c>
      <c r="BS49" t="s">
        <v>814</v>
      </c>
      <c r="BT49" t="str">
        <f>HYPERLINK("https%3A%2F%2Fwww.webofscience.com%2Fwos%2Fwoscc%2Ffull-record%2FWOS:000077908900003","View Full Record in Web of Science")</f>
        <v>View Full Record in Web of Science</v>
      </c>
    </row>
    <row r="50" spans="1:72" x14ac:dyDescent="0.15">
      <c r="A50" t="s">
        <v>72</v>
      </c>
      <c r="B50" t="s">
        <v>815</v>
      </c>
      <c r="C50" t="s">
        <v>74</v>
      </c>
      <c r="D50" t="s">
        <v>74</v>
      </c>
      <c r="E50" t="s">
        <v>74</v>
      </c>
      <c r="F50" t="s">
        <v>815</v>
      </c>
      <c r="G50" t="s">
        <v>74</v>
      </c>
      <c r="H50" t="s">
        <v>74</v>
      </c>
      <c r="I50" t="s">
        <v>816</v>
      </c>
      <c r="J50" t="s">
        <v>817</v>
      </c>
      <c r="K50" t="s">
        <v>74</v>
      </c>
      <c r="L50" t="s">
        <v>74</v>
      </c>
      <c r="M50" t="s">
        <v>77</v>
      </c>
      <c r="N50" t="s">
        <v>103</v>
      </c>
      <c r="O50" t="s">
        <v>74</v>
      </c>
      <c r="P50" t="s">
        <v>74</v>
      </c>
      <c r="Q50" t="s">
        <v>74</v>
      </c>
      <c r="R50" t="s">
        <v>74</v>
      </c>
      <c r="S50" t="s">
        <v>74</v>
      </c>
      <c r="T50" t="s">
        <v>818</v>
      </c>
      <c r="U50" t="s">
        <v>819</v>
      </c>
      <c r="V50" t="s">
        <v>820</v>
      </c>
      <c r="W50" t="s">
        <v>821</v>
      </c>
      <c r="X50" t="s">
        <v>74</v>
      </c>
      <c r="Y50" t="s">
        <v>822</v>
      </c>
      <c r="Z50" t="s">
        <v>823</v>
      </c>
      <c r="AA50" t="s">
        <v>74</v>
      </c>
      <c r="AB50" t="s">
        <v>74</v>
      </c>
      <c r="AC50" t="s">
        <v>74</v>
      </c>
      <c r="AD50" t="s">
        <v>74</v>
      </c>
      <c r="AE50" t="s">
        <v>74</v>
      </c>
      <c r="AF50" t="s">
        <v>74</v>
      </c>
      <c r="AG50">
        <v>172</v>
      </c>
      <c r="AH50">
        <v>73</v>
      </c>
      <c r="AI50">
        <v>84</v>
      </c>
      <c r="AJ50">
        <v>0</v>
      </c>
      <c r="AK50">
        <v>29</v>
      </c>
      <c r="AL50" t="s">
        <v>824</v>
      </c>
      <c r="AM50" t="s">
        <v>825</v>
      </c>
      <c r="AN50" t="s">
        <v>826</v>
      </c>
      <c r="AO50" t="s">
        <v>74</v>
      </c>
      <c r="AP50" t="s">
        <v>827</v>
      </c>
      <c r="AQ50" t="s">
        <v>74</v>
      </c>
      <c r="AR50" t="s">
        <v>828</v>
      </c>
      <c r="AS50" t="s">
        <v>829</v>
      </c>
      <c r="AT50" t="s">
        <v>74</v>
      </c>
      <c r="AU50">
        <v>1999</v>
      </c>
      <c r="AV50">
        <v>96</v>
      </c>
      <c r="AW50">
        <v>2</v>
      </c>
      <c r="AX50" t="s">
        <v>74</v>
      </c>
      <c r="AY50" t="s">
        <v>74</v>
      </c>
      <c r="AZ50" t="s">
        <v>74</v>
      </c>
      <c r="BA50" t="s">
        <v>74</v>
      </c>
      <c r="BB50">
        <v>83</v>
      </c>
      <c r="BC50">
        <v>102</v>
      </c>
      <c r="BD50" t="s">
        <v>74</v>
      </c>
      <c r="BE50" t="s">
        <v>74</v>
      </c>
      <c r="BF50" t="s">
        <v>74</v>
      </c>
      <c r="BG50" t="s">
        <v>74</v>
      </c>
      <c r="BH50" t="s">
        <v>74</v>
      </c>
      <c r="BI50">
        <v>20</v>
      </c>
      <c r="BJ50" t="s">
        <v>830</v>
      </c>
      <c r="BK50" t="s">
        <v>95</v>
      </c>
      <c r="BL50" t="s">
        <v>830</v>
      </c>
      <c r="BM50" t="s">
        <v>831</v>
      </c>
      <c r="BN50" t="s">
        <v>74</v>
      </c>
      <c r="BO50" t="s">
        <v>74</v>
      </c>
      <c r="BP50" t="s">
        <v>74</v>
      </c>
      <c r="BQ50" t="s">
        <v>74</v>
      </c>
      <c r="BR50" t="s">
        <v>98</v>
      </c>
      <c r="BS50" t="s">
        <v>832</v>
      </c>
      <c r="BT50" t="str">
        <f>HYPERLINK("https%3A%2F%2Fwww.webofscience.com%2Fwos%2Fwoscc%2Ffull-record%2FWOS:000081742200002","View Full Record in Web of Science")</f>
        <v>View Full Record in Web of Science</v>
      </c>
    </row>
    <row r="51" spans="1:72" x14ac:dyDescent="0.15">
      <c r="A51" t="s">
        <v>72</v>
      </c>
      <c r="B51" t="s">
        <v>833</v>
      </c>
      <c r="C51" t="s">
        <v>74</v>
      </c>
      <c r="D51" t="s">
        <v>74</v>
      </c>
      <c r="E51" t="s">
        <v>74</v>
      </c>
      <c r="F51" t="s">
        <v>833</v>
      </c>
      <c r="G51" t="s">
        <v>74</v>
      </c>
      <c r="H51" t="s">
        <v>74</v>
      </c>
      <c r="I51" t="s">
        <v>834</v>
      </c>
      <c r="J51" t="s">
        <v>835</v>
      </c>
      <c r="K51" t="s">
        <v>74</v>
      </c>
      <c r="L51" t="s">
        <v>74</v>
      </c>
      <c r="M51" t="s">
        <v>77</v>
      </c>
      <c r="N51" t="s">
        <v>103</v>
      </c>
      <c r="O51" t="s">
        <v>74</v>
      </c>
      <c r="P51" t="s">
        <v>74</v>
      </c>
      <c r="Q51" t="s">
        <v>74</v>
      </c>
      <c r="R51" t="s">
        <v>74</v>
      </c>
      <c r="S51" t="s">
        <v>74</v>
      </c>
      <c r="T51" t="s">
        <v>836</v>
      </c>
      <c r="U51" t="s">
        <v>837</v>
      </c>
      <c r="V51" t="s">
        <v>838</v>
      </c>
      <c r="W51" t="s">
        <v>839</v>
      </c>
      <c r="X51" t="s">
        <v>840</v>
      </c>
      <c r="Y51" t="s">
        <v>841</v>
      </c>
      <c r="Z51" t="s">
        <v>842</v>
      </c>
      <c r="AA51" t="s">
        <v>843</v>
      </c>
      <c r="AB51" t="s">
        <v>844</v>
      </c>
      <c r="AC51" t="s">
        <v>74</v>
      </c>
      <c r="AD51" t="s">
        <v>74</v>
      </c>
      <c r="AE51" t="s">
        <v>74</v>
      </c>
      <c r="AF51" t="s">
        <v>74</v>
      </c>
      <c r="AG51">
        <v>17</v>
      </c>
      <c r="AH51">
        <v>2</v>
      </c>
      <c r="AI51">
        <v>2</v>
      </c>
      <c r="AJ51">
        <v>0</v>
      </c>
      <c r="AK51">
        <v>3</v>
      </c>
      <c r="AL51" t="s">
        <v>845</v>
      </c>
      <c r="AM51" t="s">
        <v>187</v>
      </c>
      <c r="AN51" t="s">
        <v>846</v>
      </c>
      <c r="AO51" t="s">
        <v>847</v>
      </c>
      <c r="AP51" t="s">
        <v>74</v>
      </c>
      <c r="AQ51" t="s">
        <v>74</v>
      </c>
      <c r="AR51" t="s">
        <v>848</v>
      </c>
      <c r="AS51" t="s">
        <v>849</v>
      </c>
      <c r="AT51" t="s">
        <v>850</v>
      </c>
      <c r="AU51">
        <v>1999</v>
      </c>
      <c r="AV51">
        <v>35</v>
      </c>
      <c r="AW51">
        <v>1</v>
      </c>
      <c r="AX51" t="s">
        <v>74</v>
      </c>
      <c r="AY51" t="s">
        <v>74</v>
      </c>
      <c r="AZ51" t="s">
        <v>74</v>
      </c>
      <c r="BA51" t="s">
        <v>74</v>
      </c>
      <c r="BB51">
        <v>39</v>
      </c>
      <c r="BC51">
        <v>43</v>
      </c>
      <c r="BD51" t="s">
        <v>74</v>
      </c>
      <c r="BE51" t="s">
        <v>851</v>
      </c>
      <c r="BF51" t="str">
        <f>HYPERLINK("http://dx.doi.org/10.1016/S1164-5563(99)00101-6","http://dx.doi.org/10.1016/S1164-5563(99)00101-6")</f>
        <v>http://dx.doi.org/10.1016/S1164-5563(99)00101-6</v>
      </c>
      <c r="BG51" t="s">
        <v>74</v>
      </c>
      <c r="BH51" t="s">
        <v>74</v>
      </c>
      <c r="BI51">
        <v>5</v>
      </c>
      <c r="BJ51" t="s">
        <v>852</v>
      </c>
      <c r="BK51" t="s">
        <v>95</v>
      </c>
      <c r="BL51" t="s">
        <v>853</v>
      </c>
      <c r="BM51" t="s">
        <v>854</v>
      </c>
      <c r="BN51" t="s">
        <v>74</v>
      </c>
      <c r="BO51" t="s">
        <v>74</v>
      </c>
      <c r="BP51" t="s">
        <v>74</v>
      </c>
      <c r="BQ51" t="s">
        <v>74</v>
      </c>
      <c r="BR51" t="s">
        <v>98</v>
      </c>
      <c r="BS51" t="s">
        <v>855</v>
      </c>
      <c r="BT51" t="str">
        <f>HYPERLINK("https%3A%2F%2Fwww.webofscience.com%2Fwos%2Fwoscc%2Ffull-record%2FWOS:000084752000006","View Full Record in Web of Science")</f>
        <v>View Full Record in Web of Science</v>
      </c>
    </row>
    <row r="52" spans="1:72" x14ac:dyDescent="0.15">
      <c r="A52" t="s">
        <v>72</v>
      </c>
      <c r="B52" t="s">
        <v>856</v>
      </c>
      <c r="C52" t="s">
        <v>74</v>
      </c>
      <c r="D52" t="s">
        <v>74</v>
      </c>
      <c r="E52" t="s">
        <v>74</v>
      </c>
      <c r="F52" t="s">
        <v>856</v>
      </c>
      <c r="G52" t="s">
        <v>74</v>
      </c>
      <c r="H52" t="s">
        <v>74</v>
      </c>
      <c r="I52" t="s">
        <v>857</v>
      </c>
      <c r="J52" t="s">
        <v>858</v>
      </c>
      <c r="K52" t="s">
        <v>74</v>
      </c>
      <c r="L52" t="s">
        <v>74</v>
      </c>
      <c r="M52" t="s">
        <v>77</v>
      </c>
      <c r="N52" t="s">
        <v>103</v>
      </c>
      <c r="O52" t="s">
        <v>74</v>
      </c>
      <c r="P52" t="s">
        <v>74</v>
      </c>
      <c r="Q52" t="s">
        <v>74</v>
      </c>
      <c r="R52" t="s">
        <v>74</v>
      </c>
      <c r="S52" t="s">
        <v>74</v>
      </c>
      <c r="T52" t="s">
        <v>859</v>
      </c>
      <c r="U52" t="s">
        <v>860</v>
      </c>
      <c r="V52" t="s">
        <v>861</v>
      </c>
      <c r="W52" t="s">
        <v>639</v>
      </c>
      <c r="X52" t="s">
        <v>628</v>
      </c>
      <c r="Y52" t="s">
        <v>862</v>
      </c>
      <c r="Z52" t="s">
        <v>863</v>
      </c>
      <c r="AA52" t="s">
        <v>864</v>
      </c>
      <c r="AB52" t="s">
        <v>865</v>
      </c>
      <c r="AC52" t="s">
        <v>74</v>
      </c>
      <c r="AD52" t="s">
        <v>74</v>
      </c>
      <c r="AE52" t="s">
        <v>74</v>
      </c>
      <c r="AF52" t="s">
        <v>74</v>
      </c>
      <c r="AG52">
        <v>42</v>
      </c>
      <c r="AH52">
        <v>24</v>
      </c>
      <c r="AI52">
        <v>30</v>
      </c>
      <c r="AJ52">
        <v>0</v>
      </c>
      <c r="AK52">
        <v>8</v>
      </c>
      <c r="AL52" t="s">
        <v>805</v>
      </c>
      <c r="AM52" t="s">
        <v>866</v>
      </c>
      <c r="AN52" t="s">
        <v>867</v>
      </c>
      <c r="AO52" t="s">
        <v>868</v>
      </c>
      <c r="AP52" t="s">
        <v>869</v>
      </c>
      <c r="AQ52" t="s">
        <v>74</v>
      </c>
      <c r="AR52" t="s">
        <v>870</v>
      </c>
      <c r="AS52" t="s">
        <v>871</v>
      </c>
      <c r="AT52" t="s">
        <v>74</v>
      </c>
      <c r="AU52">
        <v>1999</v>
      </c>
      <c r="AV52">
        <v>13</v>
      </c>
      <c r="AW52">
        <v>6</v>
      </c>
      <c r="AX52" t="s">
        <v>74</v>
      </c>
      <c r="AY52" t="s">
        <v>74</v>
      </c>
      <c r="AZ52" t="s">
        <v>74</v>
      </c>
      <c r="BA52" t="s">
        <v>74</v>
      </c>
      <c r="BB52">
        <v>517</v>
      </c>
      <c r="BC52">
        <v>537</v>
      </c>
      <c r="BD52" t="s">
        <v>74</v>
      </c>
      <c r="BE52" t="s">
        <v>872</v>
      </c>
      <c r="BF52" t="str">
        <f>HYPERLINK("http://dx.doi.org/10.1023/A:1006783902331","http://dx.doi.org/10.1023/A:1006783902331")</f>
        <v>http://dx.doi.org/10.1023/A:1006783902331</v>
      </c>
      <c r="BG52" t="s">
        <v>74</v>
      </c>
      <c r="BH52" t="s">
        <v>74</v>
      </c>
      <c r="BI52">
        <v>21</v>
      </c>
      <c r="BJ52" t="s">
        <v>873</v>
      </c>
      <c r="BK52" t="s">
        <v>95</v>
      </c>
      <c r="BL52" t="s">
        <v>874</v>
      </c>
      <c r="BM52" t="s">
        <v>875</v>
      </c>
      <c r="BN52" t="s">
        <v>74</v>
      </c>
      <c r="BO52" t="s">
        <v>74</v>
      </c>
      <c r="BP52" t="s">
        <v>74</v>
      </c>
      <c r="BQ52" t="s">
        <v>74</v>
      </c>
      <c r="BR52" t="s">
        <v>98</v>
      </c>
      <c r="BS52" t="s">
        <v>876</v>
      </c>
      <c r="BT52" t="str">
        <f>HYPERLINK("https%3A%2F%2Fwww.webofscience.com%2Fwos%2Fwoscc%2Ffull-record%2FWOS:000165378800001","View Full Record in Web of Science")</f>
        <v>View Full Record in Web of Science</v>
      </c>
    </row>
    <row r="53" spans="1:72" x14ac:dyDescent="0.15">
      <c r="A53" t="s">
        <v>72</v>
      </c>
      <c r="B53" t="s">
        <v>877</v>
      </c>
      <c r="C53" t="s">
        <v>74</v>
      </c>
      <c r="D53" t="s">
        <v>74</v>
      </c>
      <c r="E53" t="s">
        <v>74</v>
      </c>
      <c r="F53" t="s">
        <v>877</v>
      </c>
      <c r="G53" t="s">
        <v>74</v>
      </c>
      <c r="H53" t="s">
        <v>74</v>
      </c>
      <c r="I53" t="s">
        <v>878</v>
      </c>
      <c r="J53" t="s">
        <v>879</v>
      </c>
      <c r="K53" t="s">
        <v>74</v>
      </c>
      <c r="L53" t="s">
        <v>74</v>
      </c>
      <c r="M53" t="s">
        <v>77</v>
      </c>
      <c r="N53" t="s">
        <v>103</v>
      </c>
      <c r="O53" t="s">
        <v>74</v>
      </c>
      <c r="P53" t="s">
        <v>74</v>
      </c>
      <c r="Q53" t="s">
        <v>74</v>
      </c>
      <c r="R53" t="s">
        <v>74</v>
      </c>
      <c r="S53" t="s">
        <v>74</v>
      </c>
      <c r="T53" t="s">
        <v>74</v>
      </c>
      <c r="U53" t="s">
        <v>880</v>
      </c>
      <c r="V53" t="s">
        <v>881</v>
      </c>
      <c r="W53" t="s">
        <v>882</v>
      </c>
      <c r="X53" t="s">
        <v>883</v>
      </c>
      <c r="Y53" t="s">
        <v>884</v>
      </c>
      <c r="Z53" t="s">
        <v>74</v>
      </c>
      <c r="AA53" t="s">
        <v>885</v>
      </c>
      <c r="AB53" t="s">
        <v>886</v>
      </c>
      <c r="AC53" t="s">
        <v>74</v>
      </c>
      <c r="AD53" t="s">
        <v>74</v>
      </c>
      <c r="AE53" t="s">
        <v>74</v>
      </c>
      <c r="AF53" t="s">
        <v>74</v>
      </c>
      <c r="AG53">
        <v>30</v>
      </c>
      <c r="AH53">
        <v>3</v>
      </c>
      <c r="AI53">
        <v>3</v>
      </c>
      <c r="AJ53">
        <v>0</v>
      </c>
      <c r="AK53">
        <v>3</v>
      </c>
      <c r="AL53" t="s">
        <v>887</v>
      </c>
      <c r="AM53" t="s">
        <v>278</v>
      </c>
      <c r="AN53" t="s">
        <v>888</v>
      </c>
      <c r="AO53" t="s">
        <v>889</v>
      </c>
      <c r="AP53" t="s">
        <v>74</v>
      </c>
      <c r="AQ53" t="s">
        <v>74</v>
      </c>
      <c r="AR53" t="s">
        <v>890</v>
      </c>
      <c r="AS53" t="s">
        <v>891</v>
      </c>
      <c r="AT53" t="s">
        <v>143</v>
      </c>
      <c r="AU53">
        <v>1999</v>
      </c>
      <c r="AV53">
        <v>18</v>
      </c>
      <c r="AW53">
        <v>3</v>
      </c>
      <c r="AX53" t="s">
        <v>74</v>
      </c>
      <c r="AY53" t="s">
        <v>74</v>
      </c>
      <c r="AZ53" t="s">
        <v>74</v>
      </c>
      <c r="BA53" t="s">
        <v>74</v>
      </c>
      <c r="BB53">
        <v>215</v>
      </c>
      <c r="BC53">
        <v>224</v>
      </c>
      <c r="BD53" t="s">
        <v>74</v>
      </c>
      <c r="BE53" t="s">
        <v>892</v>
      </c>
      <c r="BF53" t="str">
        <f>HYPERLINK("http://dx.doi.org/10.1007/s003670050071","http://dx.doi.org/10.1007/s003670050071")</f>
        <v>http://dx.doi.org/10.1007/s003670050071</v>
      </c>
      <c r="BG53" t="s">
        <v>74</v>
      </c>
      <c r="BH53" t="s">
        <v>74</v>
      </c>
      <c r="BI53">
        <v>10</v>
      </c>
      <c r="BJ53" t="s">
        <v>893</v>
      </c>
      <c r="BK53" t="s">
        <v>95</v>
      </c>
      <c r="BL53" t="s">
        <v>894</v>
      </c>
      <c r="BM53" t="s">
        <v>895</v>
      </c>
      <c r="BN53" t="s">
        <v>74</v>
      </c>
      <c r="BO53" t="s">
        <v>74</v>
      </c>
      <c r="BP53" t="s">
        <v>74</v>
      </c>
      <c r="BQ53" t="s">
        <v>74</v>
      </c>
      <c r="BR53" t="s">
        <v>98</v>
      </c>
      <c r="BS53" t="s">
        <v>896</v>
      </c>
      <c r="BT53" t="str">
        <f>HYPERLINK("https%3A%2F%2Fwww.webofscience.com%2Fwos%2Fwoscc%2Ffull-record%2FWOS:000078674800006","View Full Record in Web of Science")</f>
        <v>View Full Record in Web of Science</v>
      </c>
    </row>
    <row r="54" spans="1:72" x14ac:dyDescent="0.15">
      <c r="A54" t="s">
        <v>147</v>
      </c>
      <c r="B54" t="s">
        <v>897</v>
      </c>
      <c r="C54" t="s">
        <v>74</v>
      </c>
      <c r="D54" t="s">
        <v>898</v>
      </c>
      <c r="E54" t="s">
        <v>74</v>
      </c>
      <c r="F54" t="s">
        <v>897</v>
      </c>
      <c r="G54" t="s">
        <v>74</v>
      </c>
      <c r="H54" t="s">
        <v>74</v>
      </c>
      <c r="I54" t="s">
        <v>899</v>
      </c>
      <c r="J54" t="s">
        <v>900</v>
      </c>
      <c r="K54" t="s">
        <v>74</v>
      </c>
      <c r="L54" t="s">
        <v>74</v>
      </c>
      <c r="M54" t="s">
        <v>77</v>
      </c>
      <c r="N54" t="s">
        <v>153</v>
      </c>
      <c r="O54" t="s">
        <v>901</v>
      </c>
      <c r="P54" t="s">
        <v>902</v>
      </c>
      <c r="Q54" t="s">
        <v>693</v>
      </c>
      <c r="R54" t="s">
        <v>74</v>
      </c>
      <c r="S54" t="s">
        <v>74</v>
      </c>
      <c r="T54" t="s">
        <v>74</v>
      </c>
      <c r="U54" t="s">
        <v>903</v>
      </c>
      <c r="V54" t="s">
        <v>904</v>
      </c>
      <c r="W54" t="s">
        <v>905</v>
      </c>
      <c r="X54" t="s">
        <v>906</v>
      </c>
      <c r="Y54" t="s">
        <v>907</v>
      </c>
      <c r="Z54" t="s">
        <v>74</v>
      </c>
      <c r="AA54" t="s">
        <v>908</v>
      </c>
      <c r="AB54" t="s">
        <v>909</v>
      </c>
      <c r="AC54" t="s">
        <v>74</v>
      </c>
      <c r="AD54" t="s">
        <v>74</v>
      </c>
      <c r="AE54" t="s">
        <v>74</v>
      </c>
      <c r="AF54" t="s">
        <v>74</v>
      </c>
      <c r="AG54">
        <v>13</v>
      </c>
      <c r="AH54">
        <v>1</v>
      </c>
      <c r="AI54">
        <v>1</v>
      </c>
      <c r="AJ54">
        <v>0</v>
      </c>
      <c r="AK54">
        <v>1</v>
      </c>
      <c r="AL54" t="s">
        <v>910</v>
      </c>
      <c r="AM54" t="s">
        <v>911</v>
      </c>
      <c r="AN54" t="s">
        <v>912</v>
      </c>
      <c r="AO54" t="s">
        <v>74</v>
      </c>
      <c r="AP54" t="s">
        <v>74</v>
      </c>
      <c r="AQ54" t="s">
        <v>913</v>
      </c>
      <c r="AR54" t="s">
        <v>74</v>
      </c>
      <c r="AS54" t="s">
        <v>74</v>
      </c>
      <c r="AT54" t="s">
        <v>74</v>
      </c>
      <c r="AU54">
        <v>1999</v>
      </c>
      <c r="AV54" t="s">
        <v>74</v>
      </c>
      <c r="AW54" t="s">
        <v>74</v>
      </c>
      <c r="AX54" t="s">
        <v>74</v>
      </c>
      <c r="AY54" t="s">
        <v>74</v>
      </c>
      <c r="AZ54" t="s">
        <v>74</v>
      </c>
      <c r="BA54" t="s">
        <v>74</v>
      </c>
      <c r="BB54">
        <v>61</v>
      </c>
      <c r="BC54">
        <v>64</v>
      </c>
      <c r="BD54" t="s">
        <v>74</v>
      </c>
      <c r="BE54" t="s">
        <v>74</v>
      </c>
      <c r="BF54" t="s">
        <v>74</v>
      </c>
      <c r="BG54" t="s">
        <v>74</v>
      </c>
      <c r="BH54" t="s">
        <v>74</v>
      </c>
      <c r="BI54">
        <v>4</v>
      </c>
      <c r="BJ54" t="s">
        <v>914</v>
      </c>
      <c r="BK54" t="s">
        <v>171</v>
      </c>
      <c r="BL54" t="s">
        <v>915</v>
      </c>
      <c r="BM54" t="s">
        <v>916</v>
      </c>
      <c r="BN54" t="s">
        <v>74</v>
      </c>
      <c r="BO54" t="s">
        <v>74</v>
      </c>
      <c r="BP54" t="s">
        <v>74</v>
      </c>
      <c r="BQ54" t="s">
        <v>74</v>
      </c>
      <c r="BR54" t="s">
        <v>98</v>
      </c>
      <c r="BS54" t="s">
        <v>917</v>
      </c>
      <c r="BT54" t="str">
        <f>HYPERLINK("https%3A%2F%2Fwww.webofscience.com%2Fwos%2Fwoscc%2Ffull-record%2FWOS:000082439800014","View Full Record in Web of Science")</f>
        <v>View Full Record in Web of Science</v>
      </c>
    </row>
    <row r="55" spans="1:72" x14ac:dyDescent="0.15">
      <c r="A55" t="s">
        <v>72</v>
      </c>
      <c r="B55" t="s">
        <v>918</v>
      </c>
      <c r="C55" t="s">
        <v>74</v>
      </c>
      <c r="D55" t="s">
        <v>74</v>
      </c>
      <c r="E55" t="s">
        <v>74</v>
      </c>
      <c r="F55" t="s">
        <v>918</v>
      </c>
      <c r="G55" t="s">
        <v>74</v>
      </c>
      <c r="H55" t="s">
        <v>74</v>
      </c>
      <c r="I55" t="s">
        <v>919</v>
      </c>
      <c r="J55" t="s">
        <v>920</v>
      </c>
      <c r="K55" t="s">
        <v>74</v>
      </c>
      <c r="L55" t="s">
        <v>74</v>
      </c>
      <c r="M55" t="s">
        <v>77</v>
      </c>
      <c r="N55" t="s">
        <v>103</v>
      </c>
      <c r="O55" t="s">
        <v>74</v>
      </c>
      <c r="P55" t="s">
        <v>74</v>
      </c>
      <c r="Q55" t="s">
        <v>74</v>
      </c>
      <c r="R55" t="s">
        <v>74</v>
      </c>
      <c r="S55" t="s">
        <v>74</v>
      </c>
      <c r="T55" t="s">
        <v>74</v>
      </c>
      <c r="U55" t="s">
        <v>921</v>
      </c>
      <c r="V55" t="s">
        <v>922</v>
      </c>
      <c r="W55" t="s">
        <v>923</v>
      </c>
      <c r="X55" t="s">
        <v>924</v>
      </c>
      <c r="Y55" t="s">
        <v>925</v>
      </c>
      <c r="Z55" t="s">
        <v>74</v>
      </c>
      <c r="AA55" t="s">
        <v>926</v>
      </c>
      <c r="AB55" t="s">
        <v>927</v>
      </c>
      <c r="AC55" t="s">
        <v>74</v>
      </c>
      <c r="AD55" t="s">
        <v>74</v>
      </c>
      <c r="AE55" t="s">
        <v>74</v>
      </c>
      <c r="AF55" t="s">
        <v>74</v>
      </c>
      <c r="AG55">
        <v>40</v>
      </c>
      <c r="AH55">
        <v>28</v>
      </c>
      <c r="AI55">
        <v>36</v>
      </c>
      <c r="AJ55">
        <v>0</v>
      </c>
      <c r="AK55">
        <v>12</v>
      </c>
      <c r="AL55" t="s">
        <v>928</v>
      </c>
      <c r="AM55" t="s">
        <v>929</v>
      </c>
      <c r="AN55" t="s">
        <v>930</v>
      </c>
      <c r="AO55" t="s">
        <v>931</v>
      </c>
      <c r="AP55" t="s">
        <v>74</v>
      </c>
      <c r="AQ55" t="s">
        <v>74</v>
      </c>
      <c r="AR55" t="s">
        <v>932</v>
      </c>
      <c r="AS55" t="s">
        <v>933</v>
      </c>
      <c r="AT55" t="s">
        <v>74</v>
      </c>
      <c r="AU55">
        <v>1999</v>
      </c>
      <c r="AV55" t="s">
        <v>934</v>
      </c>
      <c r="AW55">
        <v>4</v>
      </c>
      <c r="AX55" t="s">
        <v>74</v>
      </c>
      <c r="AY55" t="s">
        <v>74</v>
      </c>
      <c r="AZ55" t="s">
        <v>74</v>
      </c>
      <c r="BA55" t="s">
        <v>74</v>
      </c>
      <c r="BB55">
        <v>683</v>
      </c>
      <c r="BC55">
        <v>694</v>
      </c>
      <c r="BD55" t="s">
        <v>74</v>
      </c>
      <c r="BE55" t="s">
        <v>74</v>
      </c>
      <c r="BF55" t="s">
        <v>74</v>
      </c>
      <c r="BG55" t="s">
        <v>74</v>
      </c>
      <c r="BH55" t="s">
        <v>74</v>
      </c>
      <c r="BI55">
        <v>12</v>
      </c>
      <c r="BJ55" t="s">
        <v>935</v>
      </c>
      <c r="BK55" t="s">
        <v>95</v>
      </c>
      <c r="BL55" t="s">
        <v>936</v>
      </c>
      <c r="BM55" t="s">
        <v>937</v>
      </c>
      <c r="BN55" t="s">
        <v>74</v>
      </c>
      <c r="BO55" t="s">
        <v>74</v>
      </c>
      <c r="BP55" t="s">
        <v>74</v>
      </c>
      <c r="BQ55" t="s">
        <v>74</v>
      </c>
      <c r="BR55" t="s">
        <v>98</v>
      </c>
      <c r="BS55" t="s">
        <v>938</v>
      </c>
      <c r="BT55" t="str">
        <f>HYPERLINK("https%3A%2F%2Fwww.webofscience.com%2Fwos%2Fwoscc%2Ffull-record%2FWOS:000085037700022","View Full Record in Web of Science")</f>
        <v>View Full Record in Web of Science</v>
      </c>
    </row>
    <row r="56" spans="1:72" x14ac:dyDescent="0.15">
      <c r="A56" t="s">
        <v>72</v>
      </c>
      <c r="B56" t="s">
        <v>939</v>
      </c>
      <c r="C56" t="s">
        <v>74</v>
      </c>
      <c r="D56" t="s">
        <v>74</v>
      </c>
      <c r="E56" t="s">
        <v>74</v>
      </c>
      <c r="F56" t="s">
        <v>939</v>
      </c>
      <c r="G56" t="s">
        <v>74</v>
      </c>
      <c r="H56" t="s">
        <v>74</v>
      </c>
      <c r="I56" t="s">
        <v>940</v>
      </c>
      <c r="J56" t="s">
        <v>941</v>
      </c>
      <c r="K56" t="s">
        <v>74</v>
      </c>
      <c r="L56" t="s">
        <v>74</v>
      </c>
      <c r="M56" t="s">
        <v>77</v>
      </c>
      <c r="N56" t="s">
        <v>103</v>
      </c>
      <c r="O56" t="s">
        <v>74</v>
      </c>
      <c r="P56" t="s">
        <v>74</v>
      </c>
      <c r="Q56" t="s">
        <v>74</v>
      </c>
      <c r="R56" t="s">
        <v>74</v>
      </c>
      <c r="S56" t="s">
        <v>74</v>
      </c>
      <c r="T56" t="s">
        <v>74</v>
      </c>
      <c r="U56" t="s">
        <v>942</v>
      </c>
      <c r="V56" t="s">
        <v>943</v>
      </c>
      <c r="W56" t="s">
        <v>944</v>
      </c>
      <c r="X56" t="s">
        <v>628</v>
      </c>
      <c r="Y56" t="s">
        <v>945</v>
      </c>
      <c r="Z56" t="s">
        <v>946</v>
      </c>
      <c r="AA56" t="s">
        <v>74</v>
      </c>
      <c r="AB56" t="s">
        <v>947</v>
      </c>
      <c r="AC56" t="s">
        <v>74</v>
      </c>
      <c r="AD56" t="s">
        <v>74</v>
      </c>
      <c r="AE56" t="s">
        <v>74</v>
      </c>
      <c r="AF56" t="s">
        <v>74</v>
      </c>
      <c r="AG56">
        <v>80</v>
      </c>
      <c r="AH56">
        <v>63</v>
      </c>
      <c r="AI56">
        <v>66</v>
      </c>
      <c r="AJ56">
        <v>0</v>
      </c>
      <c r="AK56">
        <v>13</v>
      </c>
      <c r="AL56" t="s">
        <v>948</v>
      </c>
      <c r="AM56" t="s">
        <v>278</v>
      </c>
      <c r="AN56" t="s">
        <v>949</v>
      </c>
      <c r="AO56" t="s">
        <v>950</v>
      </c>
      <c r="AP56" t="s">
        <v>74</v>
      </c>
      <c r="AQ56" t="s">
        <v>74</v>
      </c>
      <c r="AR56" t="s">
        <v>951</v>
      </c>
      <c r="AS56" t="s">
        <v>952</v>
      </c>
      <c r="AT56" t="s">
        <v>143</v>
      </c>
      <c r="AU56">
        <v>1999</v>
      </c>
      <c r="AV56">
        <v>136</v>
      </c>
      <c r="AW56">
        <v>1</v>
      </c>
      <c r="AX56" t="s">
        <v>74</v>
      </c>
      <c r="AY56" t="s">
        <v>74</v>
      </c>
      <c r="AZ56" t="s">
        <v>74</v>
      </c>
      <c r="BA56" t="s">
        <v>74</v>
      </c>
      <c r="BB56">
        <v>1</v>
      </c>
      <c r="BC56">
        <v>16</v>
      </c>
      <c r="BD56" t="s">
        <v>74</v>
      </c>
      <c r="BE56" t="s">
        <v>953</v>
      </c>
      <c r="BF56" t="str">
        <f>HYPERLINK("http://dx.doi.org/10.1017/S0016756899002265","http://dx.doi.org/10.1017/S0016756899002265")</f>
        <v>http://dx.doi.org/10.1017/S0016756899002265</v>
      </c>
      <c r="BG56" t="s">
        <v>74</v>
      </c>
      <c r="BH56" t="s">
        <v>74</v>
      </c>
      <c r="BI56">
        <v>16</v>
      </c>
      <c r="BJ56" t="s">
        <v>192</v>
      </c>
      <c r="BK56" t="s">
        <v>95</v>
      </c>
      <c r="BL56" t="s">
        <v>193</v>
      </c>
      <c r="BM56" t="s">
        <v>954</v>
      </c>
      <c r="BN56" t="s">
        <v>74</v>
      </c>
      <c r="BO56" t="s">
        <v>74</v>
      </c>
      <c r="BP56" t="s">
        <v>74</v>
      </c>
      <c r="BQ56" t="s">
        <v>74</v>
      </c>
      <c r="BR56" t="s">
        <v>98</v>
      </c>
      <c r="BS56" t="s">
        <v>955</v>
      </c>
      <c r="BT56" t="str">
        <f>HYPERLINK("https%3A%2F%2Fwww.webofscience.com%2Fwos%2Fwoscc%2Ffull-record%2FWOS:000079015300001","View Full Record in Web of Science")</f>
        <v>View Full Record in Web of Science</v>
      </c>
    </row>
    <row r="57" spans="1:72" x14ac:dyDescent="0.15">
      <c r="A57" t="s">
        <v>72</v>
      </c>
      <c r="B57" t="s">
        <v>956</v>
      </c>
      <c r="C57" t="s">
        <v>74</v>
      </c>
      <c r="D57" t="s">
        <v>74</v>
      </c>
      <c r="E57" t="s">
        <v>74</v>
      </c>
      <c r="F57" t="s">
        <v>956</v>
      </c>
      <c r="G57" t="s">
        <v>74</v>
      </c>
      <c r="H57" t="s">
        <v>74</v>
      </c>
      <c r="I57" t="s">
        <v>957</v>
      </c>
      <c r="J57" t="s">
        <v>958</v>
      </c>
      <c r="K57" t="s">
        <v>74</v>
      </c>
      <c r="L57" t="s">
        <v>74</v>
      </c>
      <c r="M57" t="s">
        <v>77</v>
      </c>
      <c r="N57" t="s">
        <v>103</v>
      </c>
      <c r="O57" t="s">
        <v>74</v>
      </c>
      <c r="P57" t="s">
        <v>74</v>
      </c>
      <c r="Q57" t="s">
        <v>74</v>
      </c>
      <c r="R57" t="s">
        <v>74</v>
      </c>
      <c r="S57" t="s">
        <v>74</v>
      </c>
      <c r="T57" t="s">
        <v>74</v>
      </c>
      <c r="U57" t="s">
        <v>959</v>
      </c>
      <c r="V57" t="s">
        <v>960</v>
      </c>
      <c r="W57" t="s">
        <v>961</v>
      </c>
      <c r="X57" t="s">
        <v>962</v>
      </c>
      <c r="Y57" t="s">
        <v>963</v>
      </c>
      <c r="Z57" t="s">
        <v>74</v>
      </c>
      <c r="AA57" t="s">
        <v>964</v>
      </c>
      <c r="AB57" t="s">
        <v>965</v>
      </c>
      <c r="AC57" t="s">
        <v>74</v>
      </c>
      <c r="AD57" t="s">
        <v>74</v>
      </c>
      <c r="AE57" t="s">
        <v>74</v>
      </c>
      <c r="AF57" t="s">
        <v>74</v>
      </c>
      <c r="AG57">
        <v>28</v>
      </c>
      <c r="AH57">
        <v>69</v>
      </c>
      <c r="AI57">
        <v>71</v>
      </c>
      <c r="AJ57">
        <v>1</v>
      </c>
      <c r="AK57">
        <v>16</v>
      </c>
      <c r="AL57" t="s">
        <v>966</v>
      </c>
      <c r="AM57" t="s">
        <v>967</v>
      </c>
      <c r="AN57" t="s">
        <v>968</v>
      </c>
      <c r="AO57" t="s">
        <v>969</v>
      </c>
      <c r="AP57" t="s">
        <v>74</v>
      </c>
      <c r="AQ57" t="s">
        <v>74</v>
      </c>
      <c r="AR57" t="s">
        <v>970</v>
      </c>
      <c r="AS57" t="s">
        <v>971</v>
      </c>
      <c r="AT57" t="s">
        <v>972</v>
      </c>
      <c r="AU57">
        <v>1999</v>
      </c>
      <c r="AV57">
        <v>26</v>
      </c>
      <c r="AW57">
        <v>1</v>
      </c>
      <c r="AX57" t="s">
        <v>74</v>
      </c>
      <c r="AY57" t="s">
        <v>74</v>
      </c>
      <c r="AZ57" t="s">
        <v>74</v>
      </c>
      <c r="BA57" t="s">
        <v>74</v>
      </c>
      <c r="BB57">
        <v>91</v>
      </c>
      <c r="BC57">
        <v>94</v>
      </c>
      <c r="BD57" t="s">
        <v>74</v>
      </c>
      <c r="BE57" t="s">
        <v>973</v>
      </c>
      <c r="BF57" t="str">
        <f>HYPERLINK("http://dx.doi.org/10.1029/1998GL900220","http://dx.doi.org/10.1029/1998GL900220")</f>
        <v>http://dx.doi.org/10.1029/1998GL900220</v>
      </c>
      <c r="BG57" t="s">
        <v>74</v>
      </c>
      <c r="BH57" t="s">
        <v>74</v>
      </c>
      <c r="BI57">
        <v>4</v>
      </c>
      <c r="BJ57" t="s">
        <v>192</v>
      </c>
      <c r="BK57" t="s">
        <v>95</v>
      </c>
      <c r="BL57" t="s">
        <v>193</v>
      </c>
      <c r="BM57" t="s">
        <v>974</v>
      </c>
      <c r="BN57" t="s">
        <v>74</v>
      </c>
      <c r="BO57" t="s">
        <v>74</v>
      </c>
      <c r="BP57" t="s">
        <v>74</v>
      </c>
      <c r="BQ57" t="s">
        <v>74</v>
      </c>
      <c r="BR57" t="s">
        <v>98</v>
      </c>
      <c r="BS57" t="s">
        <v>975</v>
      </c>
      <c r="BT57" t="str">
        <f>HYPERLINK("https%3A%2F%2Fwww.webofscience.com%2Fwos%2Fwoscc%2Ffull-record%2FWOS:000078118700024","View Full Record in Web of Science")</f>
        <v>View Full Record in Web of Science</v>
      </c>
    </row>
    <row r="58" spans="1:72" x14ac:dyDescent="0.15">
      <c r="A58" t="s">
        <v>72</v>
      </c>
      <c r="B58" t="s">
        <v>976</v>
      </c>
      <c r="C58" t="s">
        <v>74</v>
      </c>
      <c r="D58" t="s">
        <v>74</v>
      </c>
      <c r="E58" t="s">
        <v>74</v>
      </c>
      <c r="F58" t="s">
        <v>976</v>
      </c>
      <c r="G58" t="s">
        <v>74</v>
      </c>
      <c r="H58" t="s">
        <v>74</v>
      </c>
      <c r="I58" t="s">
        <v>977</v>
      </c>
      <c r="J58" t="s">
        <v>958</v>
      </c>
      <c r="K58" t="s">
        <v>74</v>
      </c>
      <c r="L58" t="s">
        <v>74</v>
      </c>
      <c r="M58" t="s">
        <v>77</v>
      </c>
      <c r="N58" t="s">
        <v>978</v>
      </c>
      <c r="O58" t="s">
        <v>74</v>
      </c>
      <c r="P58" t="s">
        <v>74</v>
      </c>
      <c r="Q58" t="s">
        <v>74</v>
      </c>
      <c r="R58" t="s">
        <v>74</v>
      </c>
      <c r="S58" t="s">
        <v>74</v>
      </c>
      <c r="T58" t="s">
        <v>74</v>
      </c>
      <c r="U58" t="s">
        <v>74</v>
      </c>
      <c r="V58" t="s">
        <v>979</v>
      </c>
      <c r="W58" t="s">
        <v>980</v>
      </c>
      <c r="X58" t="s">
        <v>981</v>
      </c>
      <c r="Y58" t="s">
        <v>982</v>
      </c>
      <c r="Z58" t="s">
        <v>74</v>
      </c>
      <c r="AA58" t="s">
        <v>983</v>
      </c>
      <c r="AB58" t="s">
        <v>984</v>
      </c>
      <c r="AC58" t="s">
        <v>74</v>
      </c>
      <c r="AD58" t="s">
        <v>74</v>
      </c>
      <c r="AE58" t="s">
        <v>74</v>
      </c>
      <c r="AF58" t="s">
        <v>74</v>
      </c>
      <c r="AG58">
        <v>1</v>
      </c>
      <c r="AH58">
        <v>0</v>
      </c>
      <c r="AI58">
        <v>0</v>
      </c>
      <c r="AJ58">
        <v>0</v>
      </c>
      <c r="AK58">
        <v>0</v>
      </c>
      <c r="AL58" t="s">
        <v>966</v>
      </c>
      <c r="AM58" t="s">
        <v>967</v>
      </c>
      <c r="AN58" t="s">
        <v>968</v>
      </c>
      <c r="AO58" t="s">
        <v>969</v>
      </c>
      <c r="AP58" t="s">
        <v>74</v>
      </c>
      <c r="AQ58" t="s">
        <v>74</v>
      </c>
      <c r="AR58" t="s">
        <v>970</v>
      </c>
      <c r="AS58" t="s">
        <v>971</v>
      </c>
      <c r="AT58" t="s">
        <v>972</v>
      </c>
      <c r="AU58">
        <v>1999</v>
      </c>
      <c r="AV58">
        <v>26</v>
      </c>
      <c r="AW58">
        <v>1</v>
      </c>
      <c r="AX58" t="s">
        <v>74</v>
      </c>
      <c r="AY58" t="s">
        <v>74</v>
      </c>
      <c r="AZ58" t="s">
        <v>74</v>
      </c>
      <c r="BA58" t="s">
        <v>74</v>
      </c>
      <c r="BB58">
        <v>139</v>
      </c>
      <c r="BC58">
        <v>140</v>
      </c>
      <c r="BD58" t="s">
        <v>74</v>
      </c>
      <c r="BE58" t="s">
        <v>985</v>
      </c>
      <c r="BF58" t="str">
        <f>HYPERLINK("http://dx.doi.org/10.1029/1998GL900263","http://dx.doi.org/10.1029/1998GL900263")</f>
        <v>http://dx.doi.org/10.1029/1998GL900263</v>
      </c>
      <c r="BG58" t="s">
        <v>74</v>
      </c>
      <c r="BH58" t="s">
        <v>74</v>
      </c>
      <c r="BI58">
        <v>2</v>
      </c>
      <c r="BJ58" t="s">
        <v>192</v>
      </c>
      <c r="BK58" t="s">
        <v>95</v>
      </c>
      <c r="BL58" t="s">
        <v>193</v>
      </c>
      <c r="BM58" t="s">
        <v>974</v>
      </c>
      <c r="BN58" t="s">
        <v>74</v>
      </c>
      <c r="BO58" t="s">
        <v>986</v>
      </c>
      <c r="BP58" t="s">
        <v>74</v>
      </c>
      <c r="BQ58" t="s">
        <v>74</v>
      </c>
      <c r="BR58" t="s">
        <v>98</v>
      </c>
      <c r="BS58" t="s">
        <v>987</v>
      </c>
      <c r="BT58" t="str">
        <f>HYPERLINK("https%3A%2F%2Fwww.webofscience.com%2Fwos%2Fwoscc%2Ffull-record%2FWOS:000078118700036","View Full Record in Web of Science")</f>
        <v>View Full Record in Web of Science</v>
      </c>
    </row>
    <row r="59" spans="1:72" x14ac:dyDescent="0.15">
      <c r="A59" t="s">
        <v>72</v>
      </c>
      <c r="B59" t="s">
        <v>988</v>
      </c>
      <c r="C59" t="s">
        <v>74</v>
      </c>
      <c r="D59" t="s">
        <v>74</v>
      </c>
      <c r="E59" t="s">
        <v>74</v>
      </c>
      <c r="F59" t="s">
        <v>988</v>
      </c>
      <c r="G59" t="s">
        <v>74</v>
      </c>
      <c r="H59" t="s">
        <v>74</v>
      </c>
      <c r="I59" t="s">
        <v>989</v>
      </c>
      <c r="J59" t="s">
        <v>990</v>
      </c>
      <c r="K59" t="s">
        <v>74</v>
      </c>
      <c r="L59" t="s">
        <v>74</v>
      </c>
      <c r="M59" t="s">
        <v>77</v>
      </c>
      <c r="N59" t="s">
        <v>103</v>
      </c>
      <c r="O59" t="s">
        <v>74</v>
      </c>
      <c r="P59" t="s">
        <v>74</v>
      </c>
      <c r="Q59" t="s">
        <v>74</v>
      </c>
      <c r="R59" t="s">
        <v>74</v>
      </c>
      <c r="S59" t="s">
        <v>74</v>
      </c>
      <c r="T59" t="s">
        <v>74</v>
      </c>
      <c r="U59" t="s">
        <v>74</v>
      </c>
      <c r="V59" t="s">
        <v>991</v>
      </c>
      <c r="W59" t="s">
        <v>992</v>
      </c>
      <c r="X59" t="s">
        <v>993</v>
      </c>
      <c r="Y59" t="s">
        <v>994</v>
      </c>
      <c r="Z59" t="s">
        <v>995</v>
      </c>
      <c r="AA59" t="s">
        <v>74</v>
      </c>
      <c r="AB59" t="s">
        <v>74</v>
      </c>
      <c r="AC59" t="s">
        <v>74</v>
      </c>
      <c r="AD59" t="s">
        <v>74</v>
      </c>
      <c r="AE59" t="s">
        <v>74</v>
      </c>
      <c r="AF59" t="s">
        <v>74</v>
      </c>
      <c r="AG59">
        <v>18</v>
      </c>
      <c r="AH59">
        <v>44</v>
      </c>
      <c r="AI59">
        <v>56</v>
      </c>
      <c r="AJ59">
        <v>1</v>
      </c>
      <c r="AK59">
        <v>3</v>
      </c>
      <c r="AL59" t="s">
        <v>996</v>
      </c>
      <c r="AM59" t="s">
        <v>997</v>
      </c>
      <c r="AN59" t="s">
        <v>998</v>
      </c>
      <c r="AO59" t="s">
        <v>999</v>
      </c>
      <c r="AP59" t="s">
        <v>1000</v>
      </c>
      <c r="AQ59" t="s">
        <v>74</v>
      </c>
      <c r="AR59" t="s">
        <v>990</v>
      </c>
      <c r="AS59" t="s">
        <v>1001</v>
      </c>
      <c r="AT59" t="s">
        <v>1002</v>
      </c>
      <c r="AU59">
        <v>1999</v>
      </c>
      <c r="AV59">
        <v>64</v>
      </c>
      <c r="AW59">
        <v>1</v>
      </c>
      <c r="AX59" t="s">
        <v>74</v>
      </c>
      <c r="AY59" t="s">
        <v>74</v>
      </c>
      <c r="AZ59" t="s">
        <v>74</v>
      </c>
      <c r="BA59" t="s">
        <v>74</v>
      </c>
      <c r="BB59">
        <v>61</v>
      </c>
      <c r="BC59">
        <v>69</v>
      </c>
      <c r="BD59" t="s">
        <v>74</v>
      </c>
      <c r="BE59" t="s">
        <v>1003</v>
      </c>
      <c r="BF59" t="str">
        <f>HYPERLINK("http://dx.doi.org/10.1190/1.1444530","http://dx.doi.org/10.1190/1.1444530")</f>
        <v>http://dx.doi.org/10.1190/1.1444530</v>
      </c>
      <c r="BG59" t="s">
        <v>74</v>
      </c>
      <c r="BH59" t="s">
        <v>74</v>
      </c>
      <c r="BI59">
        <v>9</v>
      </c>
      <c r="BJ59" t="s">
        <v>303</v>
      </c>
      <c r="BK59" t="s">
        <v>95</v>
      </c>
      <c r="BL59" t="s">
        <v>303</v>
      </c>
      <c r="BM59" t="s">
        <v>1004</v>
      </c>
      <c r="BN59" t="s">
        <v>74</v>
      </c>
      <c r="BO59" t="s">
        <v>1005</v>
      </c>
      <c r="BP59" t="s">
        <v>74</v>
      </c>
      <c r="BQ59" t="s">
        <v>74</v>
      </c>
      <c r="BR59" t="s">
        <v>98</v>
      </c>
      <c r="BS59" t="s">
        <v>1006</v>
      </c>
      <c r="BT59" t="str">
        <f>HYPERLINK("https%3A%2F%2Fwww.webofscience.com%2Fwos%2Fwoscc%2Ffull-record%2FWOS:000078394200005","View Full Record in Web of Science")</f>
        <v>View Full Record in Web of Science</v>
      </c>
    </row>
    <row r="60" spans="1:72" x14ac:dyDescent="0.15">
      <c r="A60" t="s">
        <v>147</v>
      </c>
      <c r="B60" t="s">
        <v>1007</v>
      </c>
      <c r="C60" t="s">
        <v>74</v>
      </c>
      <c r="D60" t="s">
        <v>1008</v>
      </c>
      <c r="E60" t="s">
        <v>74</v>
      </c>
      <c r="F60" t="s">
        <v>1007</v>
      </c>
      <c r="G60" t="s">
        <v>74</v>
      </c>
      <c r="H60" t="s">
        <v>74</v>
      </c>
      <c r="I60" t="s">
        <v>1009</v>
      </c>
      <c r="J60" t="s">
        <v>1010</v>
      </c>
      <c r="K60" t="s">
        <v>1011</v>
      </c>
      <c r="L60" t="s">
        <v>74</v>
      </c>
      <c r="M60" t="s">
        <v>77</v>
      </c>
      <c r="N60" t="s">
        <v>153</v>
      </c>
      <c r="O60" t="s">
        <v>1012</v>
      </c>
      <c r="P60">
        <v>1997</v>
      </c>
      <c r="Q60" t="s">
        <v>1013</v>
      </c>
      <c r="R60" t="s">
        <v>74</v>
      </c>
      <c r="S60" t="s">
        <v>74</v>
      </c>
      <c r="T60" t="s">
        <v>74</v>
      </c>
      <c r="U60" t="s">
        <v>1014</v>
      </c>
      <c r="V60" t="s">
        <v>1015</v>
      </c>
      <c r="W60" t="s">
        <v>1016</v>
      </c>
      <c r="X60" t="s">
        <v>1017</v>
      </c>
      <c r="Y60" t="s">
        <v>1018</v>
      </c>
      <c r="Z60" t="s">
        <v>74</v>
      </c>
      <c r="AA60" t="s">
        <v>1019</v>
      </c>
      <c r="AB60" t="s">
        <v>74</v>
      </c>
      <c r="AC60" t="s">
        <v>74</v>
      </c>
      <c r="AD60" t="s">
        <v>74</v>
      </c>
      <c r="AE60" t="s">
        <v>74</v>
      </c>
      <c r="AF60" t="s">
        <v>74</v>
      </c>
      <c r="AG60">
        <v>34</v>
      </c>
      <c r="AH60">
        <v>10</v>
      </c>
      <c r="AI60">
        <v>11</v>
      </c>
      <c r="AJ60">
        <v>1</v>
      </c>
      <c r="AK60">
        <v>2</v>
      </c>
      <c r="AL60" t="s">
        <v>1020</v>
      </c>
      <c r="AM60" t="s">
        <v>1021</v>
      </c>
      <c r="AN60" t="s">
        <v>1022</v>
      </c>
      <c r="AO60" t="s">
        <v>74</v>
      </c>
      <c r="AP60" t="s">
        <v>74</v>
      </c>
      <c r="AQ60" t="s">
        <v>1023</v>
      </c>
      <c r="AR60" t="s">
        <v>1024</v>
      </c>
      <c r="AS60" t="s">
        <v>74</v>
      </c>
      <c r="AT60" t="s">
        <v>74</v>
      </c>
      <c r="AU60">
        <v>1999</v>
      </c>
      <c r="AV60" t="s">
        <v>74</v>
      </c>
      <c r="AW60">
        <v>337</v>
      </c>
      <c r="AX60" t="s">
        <v>74</v>
      </c>
      <c r="AY60" t="s">
        <v>74</v>
      </c>
      <c r="AZ60" t="s">
        <v>74</v>
      </c>
      <c r="BA60" t="s">
        <v>74</v>
      </c>
      <c r="BB60">
        <v>151</v>
      </c>
      <c r="BC60">
        <v>158</v>
      </c>
      <c r="BD60" t="s">
        <v>74</v>
      </c>
      <c r="BE60" t="s">
        <v>74</v>
      </c>
      <c r="BF60" t="s">
        <v>74</v>
      </c>
      <c r="BG60" t="s">
        <v>74</v>
      </c>
      <c r="BH60" t="s">
        <v>74</v>
      </c>
      <c r="BI60">
        <v>8</v>
      </c>
      <c r="BJ60" t="s">
        <v>1025</v>
      </c>
      <c r="BK60" t="s">
        <v>171</v>
      </c>
      <c r="BL60" t="s">
        <v>193</v>
      </c>
      <c r="BM60" t="s">
        <v>1026</v>
      </c>
      <c r="BN60" t="s">
        <v>74</v>
      </c>
      <c r="BO60" t="s">
        <v>74</v>
      </c>
      <c r="BP60" t="s">
        <v>74</v>
      </c>
      <c r="BQ60" t="s">
        <v>74</v>
      </c>
      <c r="BR60" t="s">
        <v>98</v>
      </c>
      <c r="BS60" t="s">
        <v>1027</v>
      </c>
      <c r="BT60" t="str">
        <f>HYPERLINK("https%3A%2F%2Fwww.webofscience.com%2Fwos%2Fwoscc%2Ffull-record%2FWOS:000085824300014","View Full Record in Web of Science")</f>
        <v>View Full Record in Web of Science</v>
      </c>
    </row>
    <row r="61" spans="1:72" x14ac:dyDescent="0.15">
      <c r="A61" t="s">
        <v>72</v>
      </c>
      <c r="B61" t="s">
        <v>1028</v>
      </c>
      <c r="C61" t="s">
        <v>74</v>
      </c>
      <c r="D61" t="s">
        <v>74</v>
      </c>
      <c r="E61" t="s">
        <v>74</v>
      </c>
      <c r="F61" t="s">
        <v>1028</v>
      </c>
      <c r="G61" t="s">
        <v>74</v>
      </c>
      <c r="H61" t="s">
        <v>74</v>
      </c>
      <c r="I61" t="s">
        <v>1029</v>
      </c>
      <c r="J61" t="s">
        <v>1030</v>
      </c>
      <c r="K61" t="s">
        <v>74</v>
      </c>
      <c r="L61" t="s">
        <v>74</v>
      </c>
      <c r="M61" t="s">
        <v>77</v>
      </c>
      <c r="N61" t="s">
        <v>103</v>
      </c>
      <c r="O61" t="s">
        <v>74</v>
      </c>
      <c r="P61" t="s">
        <v>74</v>
      </c>
      <c r="Q61" t="s">
        <v>74</v>
      </c>
      <c r="R61" t="s">
        <v>74</v>
      </c>
      <c r="S61" t="s">
        <v>74</v>
      </c>
      <c r="T61" t="s">
        <v>1031</v>
      </c>
      <c r="U61" t="s">
        <v>1032</v>
      </c>
      <c r="V61" t="s">
        <v>1033</v>
      </c>
      <c r="W61" t="s">
        <v>1034</v>
      </c>
      <c r="X61" t="s">
        <v>562</v>
      </c>
      <c r="Y61" t="s">
        <v>1035</v>
      </c>
      <c r="Z61" t="s">
        <v>74</v>
      </c>
      <c r="AA61" t="s">
        <v>1036</v>
      </c>
      <c r="AB61" t="s">
        <v>74</v>
      </c>
      <c r="AC61" t="s">
        <v>74</v>
      </c>
      <c r="AD61" t="s">
        <v>74</v>
      </c>
      <c r="AE61" t="s">
        <v>74</v>
      </c>
      <c r="AF61" t="s">
        <v>74</v>
      </c>
      <c r="AG61">
        <v>27</v>
      </c>
      <c r="AH61">
        <v>12</v>
      </c>
      <c r="AI61">
        <v>12</v>
      </c>
      <c r="AJ61">
        <v>0</v>
      </c>
      <c r="AK61">
        <v>2</v>
      </c>
      <c r="AL61" t="s">
        <v>1037</v>
      </c>
      <c r="AM61" t="s">
        <v>1038</v>
      </c>
      <c r="AN61" t="s">
        <v>1039</v>
      </c>
      <c r="AO61" t="s">
        <v>1040</v>
      </c>
      <c r="AP61" t="s">
        <v>74</v>
      </c>
      <c r="AQ61" t="s">
        <v>74</v>
      </c>
      <c r="AR61" t="s">
        <v>1041</v>
      </c>
      <c r="AS61" t="s">
        <v>1042</v>
      </c>
      <c r="AT61" t="s">
        <v>143</v>
      </c>
      <c r="AU61">
        <v>1999</v>
      </c>
      <c r="AV61">
        <v>20</v>
      </c>
      <c r="AW61">
        <v>1</v>
      </c>
      <c r="AX61" t="s">
        <v>74</v>
      </c>
      <c r="AY61" t="s">
        <v>74</v>
      </c>
      <c r="AZ61" t="s">
        <v>74</v>
      </c>
      <c r="BA61" t="s">
        <v>74</v>
      </c>
      <c r="BB61">
        <v>19</v>
      </c>
      <c r="BC61">
        <v>32</v>
      </c>
      <c r="BD61" t="s">
        <v>74</v>
      </c>
      <c r="BE61" t="s">
        <v>1043</v>
      </c>
      <c r="BF61" t="str">
        <f>HYPERLINK("http://dx.doi.org/10.1016/S0921-8181(98)00060-5","http://dx.doi.org/10.1016/S0921-8181(98)00060-5")</f>
        <v>http://dx.doi.org/10.1016/S0921-8181(98)00060-5</v>
      </c>
      <c r="BG61" t="s">
        <v>74</v>
      </c>
      <c r="BH61" t="s">
        <v>74</v>
      </c>
      <c r="BI61">
        <v>14</v>
      </c>
      <c r="BJ61" t="s">
        <v>1044</v>
      </c>
      <c r="BK61" t="s">
        <v>95</v>
      </c>
      <c r="BL61" t="s">
        <v>936</v>
      </c>
      <c r="BM61" t="s">
        <v>1045</v>
      </c>
      <c r="BN61" t="s">
        <v>74</v>
      </c>
      <c r="BO61" t="s">
        <v>74</v>
      </c>
      <c r="BP61" t="s">
        <v>74</v>
      </c>
      <c r="BQ61" t="s">
        <v>74</v>
      </c>
      <c r="BR61" t="s">
        <v>98</v>
      </c>
      <c r="BS61" t="s">
        <v>1046</v>
      </c>
      <c r="BT61" t="str">
        <f>HYPERLINK("https%3A%2F%2Fwww.webofscience.com%2Fwos%2Fwoscc%2Ffull-record%2FWOS:000078094700002","View Full Record in Web of Science")</f>
        <v>View Full Record in Web of Science</v>
      </c>
    </row>
    <row r="62" spans="1:72" x14ac:dyDescent="0.15">
      <c r="A62" t="s">
        <v>72</v>
      </c>
      <c r="B62" t="s">
        <v>1047</v>
      </c>
      <c r="C62" t="s">
        <v>74</v>
      </c>
      <c r="D62" t="s">
        <v>74</v>
      </c>
      <c r="E62" t="s">
        <v>74</v>
      </c>
      <c r="F62" t="s">
        <v>1048</v>
      </c>
      <c r="G62" t="s">
        <v>74</v>
      </c>
      <c r="H62" t="s">
        <v>74</v>
      </c>
      <c r="I62" t="s">
        <v>1049</v>
      </c>
      <c r="J62" t="s">
        <v>1050</v>
      </c>
      <c r="K62" t="s">
        <v>74</v>
      </c>
      <c r="L62" t="s">
        <v>74</v>
      </c>
      <c r="M62" t="s">
        <v>77</v>
      </c>
      <c r="N62" t="s">
        <v>103</v>
      </c>
      <c r="O62" t="s">
        <v>74</v>
      </c>
      <c r="P62" t="s">
        <v>74</v>
      </c>
      <c r="Q62" t="s">
        <v>74</v>
      </c>
      <c r="R62" t="s">
        <v>74</v>
      </c>
      <c r="S62" t="s">
        <v>74</v>
      </c>
      <c r="T62" t="s">
        <v>1051</v>
      </c>
      <c r="U62" t="s">
        <v>74</v>
      </c>
      <c r="V62" t="s">
        <v>1052</v>
      </c>
      <c r="W62" t="s">
        <v>1053</v>
      </c>
      <c r="X62" t="s">
        <v>1054</v>
      </c>
      <c r="Y62" t="s">
        <v>1055</v>
      </c>
      <c r="Z62" t="s">
        <v>1056</v>
      </c>
      <c r="AA62" t="s">
        <v>1057</v>
      </c>
      <c r="AB62" t="s">
        <v>1058</v>
      </c>
      <c r="AC62" t="s">
        <v>74</v>
      </c>
      <c r="AD62" t="s">
        <v>74</v>
      </c>
      <c r="AE62" t="s">
        <v>74</v>
      </c>
      <c r="AF62" t="s">
        <v>74</v>
      </c>
      <c r="AG62">
        <v>17</v>
      </c>
      <c r="AH62">
        <v>7</v>
      </c>
      <c r="AI62">
        <v>9</v>
      </c>
      <c r="AJ62">
        <v>0</v>
      </c>
      <c r="AK62">
        <v>1</v>
      </c>
      <c r="AL62" t="s">
        <v>1059</v>
      </c>
      <c r="AM62" t="s">
        <v>1060</v>
      </c>
      <c r="AN62" t="s">
        <v>1061</v>
      </c>
      <c r="AO62" t="s">
        <v>1062</v>
      </c>
      <c r="AP62" t="s">
        <v>1063</v>
      </c>
      <c r="AQ62" t="s">
        <v>74</v>
      </c>
      <c r="AR62" t="s">
        <v>1064</v>
      </c>
      <c r="AS62" t="s">
        <v>1065</v>
      </c>
      <c r="AT62" t="s">
        <v>143</v>
      </c>
      <c r="AU62">
        <v>1999</v>
      </c>
      <c r="AV62">
        <v>2</v>
      </c>
      <c r="AW62">
        <v>3</v>
      </c>
      <c r="AX62" t="s">
        <v>74</v>
      </c>
      <c r="AY62" t="s">
        <v>74</v>
      </c>
      <c r="AZ62" t="s">
        <v>74</v>
      </c>
      <c r="BA62" t="s">
        <v>74</v>
      </c>
      <c r="BB62">
        <v>70</v>
      </c>
      <c r="BC62">
        <v>75</v>
      </c>
      <c r="BD62" t="s">
        <v>74</v>
      </c>
      <c r="BE62" t="s">
        <v>1066</v>
      </c>
      <c r="BF62" t="str">
        <f>HYPERLINK("http://dx.doi.org/10.1007/PL00012759","http://dx.doi.org/10.1007/PL00012759")</f>
        <v>http://dx.doi.org/10.1007/PL00012759</v>
      </c>
      <c r="BG62" t="s">
        <v>74</v>
      </c>
      <c r="BH62" t="s">
        <v>74</v>
      </c>
      <c r="BI62">
        <v>6</v>
      </c>
      <c r="BJ62" t="s">
        <v>1067</v>
      </c>
      <c r="BK62" t="s">
        <v>95</v>
      </c>
      <c r="BL62" t="s">
        <v>1067</v>
      </c>
      <c r="BM62" t="s">
        <v>1068</v>
      </c>
      <c r="BN62" t="s">
        <v>74</v>
      </c>
      <c r="BO62" t="s">
        <v>74</v>
      </c>
      <c r="BP62" t="s">
        <v>74</v>
      </c>
      <c r="BQ62" t="s">
        <v>74</v>
      </c>
      <c r="BR62" t="s">
        <v>98</v>
      </c>
      <c r="BS62" t="s">
        <v>1069</v>
      </c>
      <c r="BT62" t="str">
        <f>HYPERLINK("https%3A%2F%2Fwww.webofscience.com%2Fwos%2Fwoscc%2Ffull-record%2FWOS:000511699400009","View Full Record in Web of Science")</f>
        <v>View Full Record in Web of Science</v>
      </c>
    </row>
    <row r="63" spans="1:72" x14ac:dyDescent="0.15">
      <c r="A63" t="s">
        <v>72</v>
      </c>
      <c r="B63" t="s">
        <v>1070</v>
      </c>
      <c r="C63" t="s">
        <v>74</v>
      </c>
      <c r="D63" t="s">
        <v>74</v>
      </c>
      <c r="E63" t="s">
        <v>74</v>
      </c>
      <c r="F63" t="s">
        <v>1070</v>
      </c>
      <c r="G63" t="s">
        <v>74</v>
      </c>
      <c r="H63" t="s">
        <v>74</v>
      </c>
      <c r="I63" t="s">
        <v>1071</v>
      </c>
      <c r="J63" t="s">
        <v>1072</v>
      </c>
      <c r="K63" t="s">
        <v>74</v>
      </c>
      <c r="L63" t="s">
        <v>74</v>
      </c>
      <c r="M63" t="s">
        <v>77</v>
      </c>
      <c r="N63" t="s">
        <v>123</v>
      </c>
      <c r="O63" t="s">
        <v>1073</v>
      </c>
      <c r="P63" t="s">
        <v>1074</v>
      </c>
      <c r="Q63" t="s">
        <v>1075</v>
      </c>
      <c r="R63" t="s">
        <v>74</v>
      </c>
      <c r="S63" t="s">
        <v>74</v>
      </c>
      <c r="T63" t="s">
        <v>74</v>
      </c>
      <c r="U63" t="s">
        <v>1076</v>
      </c>
      <c r="V63" t="s">
        <v>1077</v>
      </c>
      <c r="W63" t="s">
        <v>1078</v>
      </c>
      <c r="X63" t="s">
        <v>1079</v>
      </c>
      <c r="Y63" t="s">
        <v>1080</v>
      </c>
      <c r="Z63" t="s">
        <v>74</v>
      </c>
      <c r="AA63" t="s">
        <v>74</v>
      </c>
      <c r="AB63" t="s">
        <v>74</v>
      </c>
      <c r="AC63" t="s">
        <v>74</v>
      </c>
      <c r="AD63" t="s">
        <v>74</v>
      </c>
      <c r="AE63" t="s">
        <v>74</v>
      </c>
      <c r="AF63" t="s">
        <v>74</v>
      </c>
      <c r="AG63">
        <v>53</v>
      </c>
      <c r="AH63">
        <v>18</v>
      </c>
      <c r="AI63">
        <v>23</v>
      </c>
      <c r="AJ63">
        <v>0</v>
      </c>
      <c r="AK63">
        <v>3</v>
      </c>
      <c r="AL63" t="s">
        <v>1081</v>
      </c>
      <c r="AM63" t="s">
        <v>1082</v>
      </c>
      <c r="AN63" t="s">
        <v>1083</v>
      </c>
      <c r="AO63" t="s">
        <v>1084</v>
      </c>
      <c r="AP63" t="s">
        <v>74</v>
      </c>
      <c r="AQ63" t="s">
        <v>74</v>
      </c>
      <c r="AR63" t="s">
        <v>1072</v>
      </c>
      <c r="AS63" t="s">
        <v>1085</v>
      </c>
      <c r="AT63" t="s">
        <v>74</v>
      </c>
      <c r="AU63">
        <v>1999</v>
      </c>
      <c r="AV63">
        <v>38</v>
      </c>
      <c r="AW63" t="s">
        <v>1086</v>
      </c>
      <c r="AX63" t="s">
        <v>74</v>
      </c>
      <c r="AY63" t="s">
        <v>74</v>
      </c>
      <c r="AZ63" t="s">
        <v>74</v>
      </c>
      <c r="BA63" t="s">
        <v>74</v>
      </c>
      <c r="BB63">
        <v>162</v>
      </c>
      <c r="BC63">
        <v>169</v>
      </c>
      <c r="BD63" t="s">
        <v>74</v>
      </c>
      <c r="BE63" t="s">
        <v>1087</v>
      </c>
      <c r="BF63" t="str">
        <f>HYPERLINK("http://dx.doi.org/10.1080/713786929","http://dx.doi.org/10.1080/713786929")</f>
        <v>http://dx.doi.org/10.1080/713786929</v>
      </c>
      <c r="BG63" t="s">
        <v>74</v>
      </c>
      <c r="BH63" t="s">
        <v>74</v>
      </c>
      <c r="BI63">
        <v>8</v>
      </c>
      <c r="BJ63" t="s">
        <v>382</v>
      </c>
      <c r="BK63" t="s">
        <v>235</v>
      </c>
      <c r="BL63" t="s">
        <v>382</v>
      </c>
      <c r="BM63" t="s">
        <v>1088</v>
      </c>
      <c r="BN63" t="s">
        <v>74</v>
      </c>
      <c r="BO63" t="s">
        <v>1089</v>
      </c>
      <c r="BP63" t="s">
        <v>74</v>
      </c>
      <c r="BQ63" t="s">
        <v>74</v>
      </c>
      <c r="BR63" t="s">
        <v>98</v>
      </c>
      <c r="BS63" t="s">
        <v>1090</v>
      </c>
      <c r="BT63" t="str">
        <f>HYPERLINK("https%3A%2F%2Fwww.webofscience.com%2Fwos%2Fwoscc%2Ffull-record%2FWOS:000087227700010","View Full Record in Web of Science")</f>
        <v>View Full Record in Web of Science</v>
      </c>
    </row>
    <row r="64" spans="1:72" x14ac:dyDescent="0.15">
      <c r="A64" t="s">
        <v>147</v>
      </c>
      <c r="B64" t="s">
        <v>1091</v>
      </c>
      <c r="C64" t="s">
        <v>74</v>
      </c>
      <c r="D64" t="s">
        <v>1092</v>
      </c>
      <c r="E64" t="s">
        <v>74</v>
      </c>
      <c r="F64" t="s">
        <v>1091</v>
      </c>
      <c r="G64" t="s">
        <v>74</v>
      </c>
      <c r="H64" t="s">
        <v>74</v>
      </c>
      <c r="I64" t="s">
        <v>1093</v>
      </c>
      <c r="J64" t="s">
        <v>1094</v>
      </c>
      <c r="K64" t="s">
        <v>1095</v>
      </c>
      <c r="L64" t="s">
        <v>74</v>
      </c>
      <c r="M64" t="s">
        <v>77</v>
      </c>
      <c r="N64" t="s">
        <v>153</v>
      </c>
      <c r="O64" t="s">
        <v>1096</v>
      </c>
      <c r="P64" t="s">
        <v>1097</v>
      </c>
      <c r="Q64" t="s">
        <v>1098</v>
      </c>
      <c r="R64" t="s">
        <v>74</v>
      </c>
      <c r="S64" t="s">
        <v>74</v>
      </c>
      <c r="T64" t="s">
        <v>74</v>
      </c>
      <c r="U64" t="s">
        <v>74</v>
      </c>
      <c r="V64" t="s">
        <v>1099</v>
      </c>
      <c r="W64" t="s">
        <v>74</v>
      </c>
      <c r="X64" t="s">
        <v>74</v>
      </c>
      <c r="Y64" t="s">
        <v>74</v>
      </c>
      <c r="Z64" t="s">
        <v>74</v>
      </c>
      <c r="AA64" t="s">
        <v>74</v>
      </c>
      <c r="AB64" t="s">
        <v>74</v>
      </c>
      <c r="AC64" t="s">
        <v>74</v>
      </c>
      <c r="AD64" t="s">
        <v>74</v>
      </c>
      <c r="AE64" t="s">
        <v>74</v>
      </c>
      <c r="AF64" t="s">
        <v>74</v>
      </c>
      <c r="AG64">
        <v>22</v>
      </c>
      <c r="AH64">
        <v>0</v>
      </c>
      <c r="AI64">
        <v>0</v>
      </c>
      <c r="AJ64">
        <v>0</v>
      </c>
      <c r="AK64">
        <v>0</v>
      </c>
      <c r="AL64" t="s">
        <v>1100</v>
      </c>
      <c r="AM64" t="s">
        <v>1101</v>
      </c>
      <c r="AN64" t="s">
        <v>1102</v>
      </c>
      <c r="AO64" t="s">
        <v>1103</v>
      </c>
      <c r="AP64" t="s">
        <v>74</v>
      </c>
      <c r="AQ64" t="s">
        <v>1104</v>
      </c>
      <c r="AR64" t="s">
        <v>1105</v>
      </c>
      <c r="AS64" t="s">
        <v>74</v>
      </c>
      <c r="AT64" t="s">
        <v>74</v>
      </c>
      <c r="AU64">
        <v>1999</v>
      </c>
      <c r="AV64">
        <v>101</v>
      </c>
      <c r="AW64" t="s">
        <v>74</v>
      </c>
      <c r="AX64" t="s">
        <v>74</v>
      </c>
      <c r="AY64" t="s">
        <v>74</v>
      </c>
      <c r="AZ64" t="s">
        <v>74</v>
      </c>
      <c r="BA64" t="s">
        <v>74</v>
      </c>
      <c r="BB64">
        <v>457</v>
      </c>
      <c r="BC64">
        <v>481</v>
      </c>
      <c r="BD64" t="s">
        <v>74</v>
      </c>
      <c r="BE64" t="s">
        <v>74</v>
      </c>
      <c r="BF64" t="s">
        <v>74</v>
      </c>
      <c r="BG64" t="s">
        <v>74</v>
      </c>
      <c r="BH64" t="s">
        <v>74</v>
      </c>
      <c r="BI64">
        <v>25</v>
      </c>
      <c r="BJ64" t="s">
        <v>434</v>
      </c>
      <c r="BK64" t="s">
        <v>171</v>
      </c>
      <c r="BL64" t="s">
        <v>321</v>
      </c>
      <c r="BM64" t="s">
        <v>1106</v>
      </c>
      <c r="BN64" t="s">
        <v>74</v>
      </c>
      <c r="BO64" t="s">
        <v>74</v>
      </c>
      <c r="BP64" t="s">
        <v>74</v>
      </c>
      <c r="BQ64" t="s">
        <v>74</v>
      </c>
      <c r="BR64" t="s">
        <v>98</v>
      </c>
      <c r="BS64" t="s">
        <v>1107</v>
      </c>
      <c r="BT64" t="str">
        <f>HYPERLINK("https%3A%2F%2Fwww.webofscience.com%2Fwos%2Fwoscc%2Ffull-record%2FWOS:000080857900029","View Full Record in Web of Science")</f>
        <v>View Full Record in Web of Science</v>
      </c>
    </row>
    <row r="65" spans="1:72" x14ac:dyDescent="0.15">
      <c r="A65" t="s">
        <v>72</v>
      </c>
      <c r="B65" t="s">
        <v>1108</v>
      </c>
      <c r="C65" t="s">
        <v>74</v>
      </c>
      <c r="D65" t="s">
        <v>74</v>
      </c>
      <c r="E65" t="s">
        <v>74</v>
      </c>
      <c r="F65" t="s">
        <v>1108</v>
      </c>
      <c r="G65" t="s">
        <v>74</v>
      </c>
      <c r="H65" t="s">
        <v>74</v>
      </c>
      <c r="I65" t="s">
        <v>1109</v>
      </c>
      <c r="J65" t="s">
        <v>1110</v>
      </c>
      <c r="K65" t="s">
        <v>74</v>
      </c>
      <c r="L65" t="s">
        <v>74</v>
      </c>
      <c r="M65" t="s">
        <v>77</v>
      </c>
      <c r="N65" t="s">
        <v>103</v>
      </c>
      <c r="O65" t="s">
        <v>74</v>
      </c>
      <c r="P65" t="s">
        <v>74</v>
      </c>
      <c r="Q65" t="s">
        <v>74</v>
      </c>
      <c r="R65" t="s">
        <v>74</v>
      </c>
      <c r="S65" t="s">
        <v>74</v>
      </c>
      <c r="T65" t="s">
        <v>1111</v>
      </c>
      <c r="U65" t="s">
        <v>1112</v>
      </c>
      <c r="V65" t="s">
        <v>1113</v>
      </c>
      <c r="W65" t="s">
        <v>1114</v>
      </c>
      <c r="X65" t="s">
        <v>1115</v>
      </c>
      <c r="Y65" t="s">
        <v>1116</v>
      </c>
      <c r="Z65" t="s">
        <v>1117</v>
      </c>
      <c r="AA65" t="s">
        <v>1118</v>
      </c>
      <c r="AB65" t="s">
        <v>1119</v>
      </c>
      <c r="AC65" t="s">
        <v>74</v>
      </c>
      <c r="AD65" t="s">
        <v>74</v>
      </c>
      <c r="AE65" t="s">
        <v>74</v>
      </c>
      <c r="AF65" t="s">
        <v>74</v>
      </c>
      <c r="AG65">
        <v>17</v>
      </c>
      <c r="AH65">
        <v>3</v>
      </c>
      <c r="AI65">
        <v>4</v>
      </c>
      <c r="AJ65">
        <v>1</v>
      </c>
      <c r="AK65">
        <v>2</v>
      </c>
      <c r="AL65" t="s">
        <v>1120</v>
      </c>
      <c r="AM65" t="s">
        <v>1121</v>
      </c>
      <c r="AN65" t="s">
        <v>1122</v>
      </c>
      <c r="AO65" t="s">
        <v>1123</v>
      </c>
      <c r="AP65" t="s">
        <v>1124</v>
      </c>
      <c r="AQ65" t="s">
        <v>74</v>
      </c>
      <c r="AR65" t="s">
        <v>1125</v>
      </c>
      <c r="AS65" t="s">
        <v>1126</v>
      </c>
      <c r="AT65" t="s">
        <v>74</v>
      </c>
      <c r="AU65">
        <v>1999</v>
      </c>
      <c r="AV65">
        <v>53</v>
      </c>
      <c r="AW65">
        <v>2</v>
      </c>
      <c r="AX65" t="s">
        <v>74</v>
      </c>
      <c r="AY65" t="s">
        <v>74</v>
      </c>
      <c r="AZ65" t="s">
        <v>74</v>
      </c>
      <c r="BA65" t="s">
        <v>74</v>
      </c>
      <c r="BB65">
        <v>102</v>
      </c>
      <c r="BC65">
        <v>117</v>
      </c>
      <c r="BD65" t="s">
        <v>74</v>
      </c>
      <c r="BE65" t="s">
        <v>1127</v>
      </c>
      <c r="BF65" t="str">
        <f>HYPERLINK("http://dx.doi.org/10.1007/PL00012142","http://dx.doi.org/10.1007/PL00012142")</f>
        <v>http://dx.doi.org/10.1007/PL00012142</v>
      </c>
      <c r="BG65" t="s">
        <v>74</v>
      </c>
      <c r="BH65" t="s">
        <v>74</v>
      </c>
      <c r="BI65">
        <v>16</v>
      </c>
      <c r="BJ65" t="s">
        <v>1128</v>
      </c>
      <c r="BK65" t="s">
        <v>95</v>
      </c>
      <c r="BL65" t="s">
        <v>1128</v>
      </c>
      <c r="BM65" t="s">
        <v>1129</v>
      </c>
      <c r="BN65" t="s">
        <v>74</v>
      </c>
      <c r="BO65" t="s">
        <v>1089</v>
      </c>
      <c r="BP65" t="s">
        <v>74</v>
      </c>
      <c r="BQ65" t="s">
        <v>74</v>
      </c>
      <c r="BR65" t="s">
        <v>98</v>
      </c>
      <c r="BS65" t="s">
        <v>1130</v>
      </c>
      <c r="BT65" t="str">
        <f>HYPERLINK("https%3A%2F%2Fwww.webofscience.com%2Fwos%2Fwoscc%2Ffull-record%2FWOS:000086516500003","View Full Record in Web of Science")</f>
        <v>View Full Record in Web of Science</v>
      </c>
    </row>
    <row r="66" spans="1:72" x14ac:dyDescent="0.15">
      <c r="A66" t="s">
        <v>147</v>
      </c>
      <c r="B66" t="s">
        <v>1131</v>
      </c>
      <c r="C66" t="s">
        <v>74</v>
      </c>
      <c r="D66" t="s">
        <v>1132</v>
      </c>
      <c r="E66" t="s">
        <v>74</v>
      </c>
      <c r="F66" t="s">
        <v>1131</v>
      </c>
      <c r="G66" t="s">
        <v>74</v>
      </c>
      <c r="H66" t="s">
        <v>74</v>
      </c>
      <c r="I66" t="s">
        <v>1133</v>
      </c>
      <c r="J66" t="s">
        <v>1134</v>
      </c>
      <c r="K66" t="s">
        <v>1135</v>
      </c>
      <c r="L66" t="s">
        <v>74</v>
      </c>
      <c r="M66" t="s">
        <v>77</v>
      </c>
      <c r="N66" t="s">
        <v>153</v>
      </c>
      <c r="O66" t="s">
        <v>1136</v>
      </c>
      <c r="P66" t="s">
        <v>1137</v>
      </c>
      <c r="Q66" t="s">
        <v>1138</v>
      </c>
      <c r="R66" t="s">
        <v>74</v>
      </c>
      <c r="S66" t="s">
        <v>74</v>
      </c>
      <c r="T66" t="s">
        <v>74</v>
      </c>
      <c r="U66" t="s">
        <v>1139</v>
      </c>
      <c r="V66" t="s">
        <v>1140</v>
      </c>
      <c r="W66" t="s">
        <v>1141</v>
      </c>
      <c r="X66" t="s">
        <v>1142</v>
      </c>
      <c r="Y66" t="s">
        <v>1143</v>
      </c>
      <c r="Z66" t="s">
        <v>74</v>
      </c>
      <c r="AA66" t="s">
        <v>1144</v>
      </c>
      <c r="AB66" t="s">
        <v>1145</v>
      </c>
      <c r="AC66" t="s">
        <v>74</v>
      </c>
      <c r="AD66" t="s">
        <v>74</v>
      </c>
      <c r="AE66" t="s">
        <v>74</v>
      </c>
      <c r="AF66" t="s">
        <v>74</v>
      </c>
      <c r="AG66">
        <v>66</v>
      </c>
      <c r="AH66">
        <v>3</v>
      </c>
      <c r="AI66">
        <v>3</v>
      </c>
      <c r="AJ66">
        <v>0</v>
      </c>
      <c r="AK66">
        <v>2</v>
      </c>
      <c r="AL66" t="s">
        <v>1146</v>
      </c>
      <c r="AM66" t="s">
        <v>1147</v>
      </c>
      <c r="AN66" t="s">
        <v>1148</v>
      </c>
      <c r="AO66" t="s">
        <v>1149</v>
      </c>
      <c r="AP66" t="s">
        <v>74</v>
      </c>
      <c r="AQ66" t="s">
        <v>1150</v>
      </c>
      <c r="AR66" t="s">
        <v>1151</v>
      </c>
      <c r="AS66" t="s">
        <v>74</v>
      </c>
      <c r="AT66" t="s">
        <v>74</v>
      </c>
      <c r="AU66">
        <v>1999</v>
      </c>
      <c r="AV66">
        <v>56</v>
      </c>
      <c r="AW66" t="s">
        <v>74</v>
      </c>
      <c r="AX66" t="s">
        <v>74</v>
      </c>
      <c r="AY66" t="s">
        <v>74</v>
      </c>
      <c r="AZ66" t="s">
        <v>74</v>
      </c>
      <c r="BA66" t="s">
        <v>74</v>
      </c>
      <c r="BB66">
        <v>143</v>
      </c>
      <c r="BC66">
        <v>167</v>
      </c>
      <c r="BD66" t="s">
        <v>74</v>
      </c>
      <c r="BE66" t="s">
        <v>74</v>
      </c>
      <c r="BF66" t="s">
        <v>74</v>
      </c>
      <c r="BG66" t="s">
        <v>74</v>
      </c>
      <c r="BH66" t="s">
        <v>74</v>
      </c>
      <c r="BI66">
        <v>25</v>
      </c>
      <c r="BJ66" t="s">
        <v>1152</v>
      </c>
      <c r="BK66" t="s">
        <v>171</v>
      </c>
      <c r="BL66" t="s">
        <v>1153</v>
      </c>
      <c r="BM66" t="s">
        <v>1154</v>
      </c>
      <c r="BN66" t="s">
        <v>74</v>
      </c>
      <c r="BO66" t="s">
        <v>74</v>
      </c>
      <c r="BP66" t="s">
        <v>74</v>
      </c>
      <c r="BQ66" t="s">
        <v>74</v>
      </c>
      <c r="BR66" t="s">
        <v>98</v>
      </c>
      <c r="BS66" t="s">
        <v>1155</v>
      </c>
      <c r="BT66" t="str">
        <f>HYPERLINK("https%3A%2F%2Fwww.webofscience.com%2Fwos%2Fwoscc%2Ffull-record%2FWOS:000085690200008","View Full Record in Web of Science")</f>
        <v>View Full Record in Web of Science</v>
      </c>
    </row>
    <row r="67" spans="1:72" x14ac:dyDescent="0.15">
      <c r="A67" t="s">
        <v>147</v>
      </c>
      <c r="B67" t="s">
        <v>1156</v>
      </c>
      <c r="C67" t="s">
        <v>74</v>
      </c>
      <c r="D67" t="s">
        <v>1157</v>
      </c>
      <c r="E67" t="s">
        <v>74</v>
      </c>
      <c r="F67" t="s">
        <v>1156</v>
      </c>
      <c r="G67" t="s">
        <v>74</v>
      </c>
      <c r="H67" t="s">
        <v>74</v>
      </c>
      <c r="I67" t="s">
        <v>1158</v>
      </c>
      <c r="J67" t="s">
        <v>1159</v>
      </c>
      <c r="K67" t="s">
        <v>152</v>
      </c>
      <c r="L67" t="s">
        <v>74</v>
      </c>
      <c r="M67" t="s">
        <v>77</v>
      </c>
      <c r="N67" t="s">
        <v>153</v>
      </c>
      <c r="O67" t="s">
        <v>1160</v>
      </c>
      <c r="P67" t="s">
        <v>1161</v>
      </c>
      <c r="Q67" t="s">
        <v>1162</v>
      </c>
      <c r="R67" t="s">
        <v>74</v>
      </c>
      <c r="S67" t="s">
        <v>74</v>
      </c>
      <c r="T67" t="s">
        <v>1163</v>
      </c>
      <c r="U67" t="s">
        <v>74</v>
      </c>
      <c r="V67" t="s">
        <v>1164</v>
      </c>
      <c r="W67" t="s">
        <v>1165</v>
      </c>
      <c r="X67" t="s">
        <v>1166</v>
      </c>
      <c r="Y67" t="s">
        <v>1167</v>
      </c>
      <c r="Z67" t="s">
        <v>74</v>
      </c>
      <c r="AA67" t="s">
        <v>74</v>
      </c>
      <c r="AB67" t="s">
        <v>74</v>
      </c>
      <c r="AC67" t="s">
        <v>74</v>
      </c>
      <c r="AD67" t="s">
        <v>74</v>
      </c>
      <c r="AE67" t="s">
        <v>74</v>
      </c>
      <c r="AF67" t="s">
        <v>74</v>
      </c>
      <c r="AG67">
        <v>5</v>
      </c>
      <c r="AH67">
        <v>2</v>
      </c>
      <c r="AI67">
        <v>2</v>
      </c>
      <c r="AJ67">
        <v>0</v>
      </c>
      <c r="AK67">
        <v>4</v>
      </c>
      <c r="AL67" t="s">
        <v>163</v>
      </c>
      <c r="AM67" t="s">
        <v>164</v>
      </c>
      <c r="AN67" t="s">
        <v>165</v>
      </c>
      <c r="AO67" t="s">
        <v>166</v>
      </c>
      <c r="AP67" t="s">
        <v>74</v>
      </c>
      <c r="AQ67" t="s">
        <v>1168</v>
      </c>
      <c r="AR67" t="s">
        <v>168</v>
      </c>
      <c r="AS67" t="s">
        <v>74</v>
      </c>
      <c r="AT67" t="s">
        <v>74</v>
      </c>
      <c r="AU67">
        <v>1999</v>
      </c>
      <c r="AV67">
        <v>3755</v>
      </c>
      <c r="AW67" t="s">
        <v>74</v>
      </c>
      <c r="AX67" t="s">
        <v>74</v>
      </c>
      <c r="AY67" t="s">
        <v>74</v>
      </c>
      <c r="AZ67" t="s">
        <v>74</v>
      </c>
      <c r="BA67" t="s">
        <v>74</v>
      </c>
      <c r="BB67">
        <v>176</v>
      </c>
      <c r="BC67">
        <v>186</v>
      </c>
      <c r="BD67" t="s">
        <v>74</v>
      </c>
      <c r="BE67" t="s">
        <v>1169</v>
      </c>
      <c r="BF67" t="str">
        <f>HYPERLINK("http://dx.doi.org/10.1117/12.375075","http://dx.doi.org/10.1117/12.375075")</f>
        <v>http://dx.doi.org/10.1117/12.375075</v>
      </c>
      <c r="BG67" t="s">
        <v>74</v>
      </c>
      <c r="BH67" t="s">
        <v>74</v>
      </c>
      <c r="BI67">
        <v>11</v>
      </c>
      <c r="BJ67" t="s">
        <v>1170</v>
      </c>
      <c r="BK67" t="s">
        <v>171</v>
      </c>
      <c r="BL67" t="s">
        <v>1170</v>
      </c>
      <c r="BM67" t="s">
        <v>1171</v>
      </c>
      <c r="BN67" t="s">
        <v>74</v>
      </c>
      <c r="BO67" t="s">
        <v>74</v>
      </c>
      <c r="BP67" t="s">
        <v>74</v>
      </c>
      <c r="BQ67" t="s">
        <v>74</v>
      </c>
      <c r="BR67" t="s">
        <v>98</v>
      </c>
      <c r="BS67" t="s">
        <v>1172</v>
      </c>
      <c r="BT67" t="str">
        <f>HYPERLINK("https%3A%2F%2Fwww.webofscience.com%2Fwos%2Fwoscc%2Ffull-record%2FWOS:000085289800017","View Full Record in Web of Science")</f>
        <v>View Full Record in Web of Science</v>
      </c>
    </row>
    <row r="68" spans="1:72" x14ac:dyDescent="0.15">
      <c r="A68" t="s">
        <v>147</v>
      </c>
      <c r="B68" t="s">
        <v>1173</v>
      </c>
      <c r="C68" t="s">
        <v>74</v>
      </c>
      <c r="D68" t="s">
        <v>1157</v>
      </c>
      <c r="E68" t="s">
        <v>74</v>
      </c>
      <c r="F68" t="s">
        <v>1173</v>
      </c>
      <c r="G68" t="s">
        <v>74</v>
      </c>
      <c r="H68" t="s">
        <v>74</v>
      </c>
      <c r="I68" t="s">
        <v>1174</v>
      </c>
      <c r="J68" t="s">
        <v>1159</v>
      </c>
      <c r="K68" t="s">
        <v>152</v>
      </c>
      <c r="L68" t="s">
        <v>74</v>
      </c>
      <c r="M68" t="s">
        <v>77</v>
      </c>
      <c r="N68" t="s">
        <v>153</v>
      </c>
      <c r="O68" t="s">
        <v>1160</v>
      </c>
      <c r="P68" t="s">
        <v>1161</v>
      </c>
      <c r="Q68" t="s">
        <v>1162</v>
      </c>
      <c r="R68" t="s">
        <v>74</v>
      </c>
      <c r="S68" t="s">
        <v>74</v>
      </c>
      <c r="T68" t="s">
        <v>74</v>
      </c>
      <c r="U68" t="s">
        <v>74</v>
      </c>
      <c r="V68" t="s">
        <v>1175</v>
      </c>
      <c r="W68" t="s">
        <v>1176</v>
      </c>
      <c r="X68" t="s">
        <v>1177</v>
      </c>
      <c r="Y68" t="s">
        <v>1178</v>
      </c>
      <c r="Z68" t="s">
        <v>74</v>
      </c>
      <c r="AA68" t="s">
        <v>74</v>
      </c>
      <c r="AB68" t="s">
        <v>74</v>
      </c>
      <c r="AC68" t="s">
        <v>74</v>
      </c>
      <c r="AD68" t="s">
        <v>74</v>
      </c>
      <c r="AE68" t="s">
        <v>74</v>
      </c>
      <c r="AF68" t="s">
        <v>74</v>
      </c>
      <c r="AG68">
        <v>13</v>
      </c>
      <c r="AH68">
        <v>1</v>
      </c>
      <c r="AI68">
        <v>1</v>
      </c>
      <c r="AJ68">
        <v>0</v>
      </c>
      <c r="AK68">
        <v>10</v>
      </c>
      <c r="AL68" t="s">
        <v>163</v>
      </c>
      <c r="AM68" t="s">
        <v>164</v>
      </c>
      <c r="AN68" t="s">
        <v>165</v>
      </c>
      <c r="AO68" t="s">
        <v>166</v>
      </c>
      <c r="AP68" t="s">
        <v>74</v>
      </c>
      <c r="AQ68" t="s">
        <v>1168</v>
      </c>
      <c r="AR68" t="s">
        <v>168</v>
      </c>
      <c r="AS68" t="s">
        <v>74</v>
      </c>
      <c r="AT68" t="s">
        <v>74</v>
      </c>
      <c r="AU68">
        <v>1999</v>
      </c>
      <c r="AV68">
        <v>3755</v>
      </c>
      <c r="AW68" t="s">
        <v>74</v>
      </c>
      <c r="AX68" t="s">
        <v>74</v>
      </c>
      <c r="AY68" t="s">
        <v>74</v>
      </c>
      <c r="AZ68" t="s">
        <v>74</v>
      </c>
      <c r="BA68" t="s">
        <v>74</v>
      </c>
      <c r="BB68">
        <v>187</v>
      </c>
      <c r="BC68">
        <v>197</v>
      </c>
      <c r="BD68" t="s">
        <v>74</v>
      </c>
      <c r="BE68" t="s">
        <v>1179</v>
      </c>
      <c r="BF68" t="str">
        <f>HYPERLINK("http://dx.doi.org/10.1117/12.375076","http://dx.doi.org/10.1117/12.375076")</f>
        <v>http://dx.doi.org/10.1117/12.375076</v>
      </c>
      <c r="BG68" t="s">
        <v>74</v>
      </c>
      <c r="BH68" t="s">
        <v>74</v>
      </c>
      <c r="BI68">
        <v>11</v>
      </c>
      <c r="BJ68" t="s">
        <v>1170</v>
      </c>
      <c r="BK68" t="s">
        <v>171</v>
      </c>
      <c r="BL68" t="s">
        <v>1170</v>
      </c>
      <c r="BM68" t="s">
        <v>1171</v>
      </c>
      <c r="BN68" t="s">
        <v>74</v>
      </c>
      <c r="BO68" t="s">
        <v>74</v>
      </c>
      <c r="BP68" t="s">
        <v>74</v>
      </c>
      <c r="BQ68" t="s">
        <v>74</v>
      </c>
      <c r="BR68" t="s">
        <v>98</v>
      </c>
      <c r="BS68" t="s">
        <v>1180</v>
      </c>
      <c r="BT68" t="str">
        <f>HYPERLINK("https%3A%2F%2Fwww.webofscience.com%2Fwos%2Fwoscc%2Ffull-record%2FWOS:000085289800018","View Full Record in Web of Science")</f>
        <v>View Full Record in Web of Science</v>
      </c>
    </row>
    <row r="69" spans="1:72" x14ac:dyDescent="0.15">
      <c r="A69" t="s">
        <v>147</v>
      </c>
      <c r="B69" t="s">
        <v>1181</v>
      </c>
      <c r="C69" t="s">
        <v>74</v>
      </c>
      <c r="D69" t="s">
        <v>1157</v>
      </c>
      <c r="E69" t="s">
        <v>74</v>
      </c>
      <c r="F69" t="s">
        <v>1181</v>
      </c>
      <c r="G69" t="s">
        <v>74</v>
      </c>
      <c r="H69" t="s">
        <v>74</v>
      </c>
      <c r="I69" t="s">
        <v>1182</v>
      </c>
      <c r="J69" t="s">
        <v>1159</v>
      </c>
      <c r="K69" t="s">
        <v>152</v>
      </c>
      <c r="L69" t="s">
        <v>74</v>
      </c>
      <c r="M69" t="s">
        <v>77</v>
      </c>
      <c r="N69" t="s">
        <v>153</v>
      </c>
      <c r="O69" t="s">
        <v>1160</v>
      </c>
      <c r="P69" t="s">
        <v>1161</v>
      </c>
      <c r="Q69" t="s">
        <v>1162</v>
      </c>
      <c r="R69" t="s">
        <v>74</v>
      </c>
      <c r="S69" t="s">
        <v>74</v>
      </c>
      <c r="T69" t="s">
        <v>1183</v>
      </c>
      <c r="U69" t="s">
        <v>1184</v>
      </c>
      <c r="V69" t="s">
        <v>1185</v>
      </c>
      <c r="W69" t="s">
        <v>1186</v>
      </c>
      <c r="X69" t="s">
        <v>1187</v>
      </c>
      <c r="Y69" t="s">
        <v>1188</v>
      </c>
      <c r="Z69" t="s">
        <v>74</v>
      </c>
      <c r="AA69" t="s">
        <v>74</v>
      </c>
      <c r="AB69" t="s">
        <v>74</v>
      </c>
      <c r="AC69" t="s">
        <v>74</v>
      </c>
      <c r="AD69" t="s">
        <v>74</v>
      </c>
      <c r="AE69" t="s">
        <v>74</v>
      </c>
      <c r="AF69" t="s">
        <v>74</v>
      </c>
      <c r="AG69">
        <v>29</v>
      </c>
      <c r="AH69">
        <v>0</v>
      </c>
      <c r="AI69">
        <v>0</v>
      </c>
      <c r="AJ69">
        <v>0</v>
      </c>
      <c r="AK69">
        <v>2</v>
      </c>
      <c r="AL69" t="s">
        <v>163</v>
      </c>
      <c r="AM69" t="s">
        <v>164</v>
      </c>
      <c r="AN69" t="s">
        <v>165</v>
      </c>
      <c r="AO69" t="s">
        <v>166</v>
      </c>
      <c r="AP69" t="s">
        <v>74</v>
      </c>
      <c r="AQ69" t="s">
        <v>1168</v>
      </c>
      <c r="AR69" t="s">
        <v>168</v>
      </c>
      <c r="AS69" t="s">
        <v>74</v>
      </c>
      <c r="AT69" t="s">
        <v>74</v>
      </c>
      <c r="AU69">
        <v>1999</v>
      </c>
      <c r="AV69">
        <v>3755</v>
      </c>
      <c r="AW69" t="s">
        <v>74</v>
      </c>
      <c r="AX69" t="s">
        <v>74</v>
      </c>
      <c r="AY69" t="s">
        <v>74</v>
      </c>
      <c r="AZ69" t="s">
        <v>74</v>
      </c>
      <c r="BA69" t="s">
        <v>74</v>
      </c>
      <c r="BB69">
        <v>198</v>
      </c>
      <c r="BC69">
        <v>207</v>
      </c>
      <c r="BD69" t="s">
        <v>74</v>
      </c>
      <c r="BE69" t="s">
        <v>1189</v>
      </c>
      <c r="BF69" t="str">
        <f>HYPERLINK("http://dx.doi.org/10.1117/12.375077","http://dx.doi.org/10.1117/12.375077")</f>
        <v>http://dx.doi.org/10.1117/12.375077</v>
      </c>
      <c r="BG69" t="s">
        <v>74</v>
      </c>
      <c r="BH69" t="s">
        <v>74</v>
      </c>
      <c r="BI69">
        <v>10</v>
      </c>
      <c r="BJ69" t="s">
        <v>1170</v>
      </c>
      <c r="BK69" t="s">
        <v>171</v>
      </c>
      <c r="BL69" t="s">
        <v>1170</v>
      </c>
      <c r="BM69" t="s">
        <v>1171</v>
      </c>
      <c r="BN69" t="s">
        <v>74</v>
      </c>
      <c r="BO69" t="s">
        <v>74</v>
      </c>
      <c r="BP69" t="s">
        <v>74</v>
      </c>
      <c r="BQ69" t="s">
        <v>74</v>
      </c>
      <c r="BR69" t="s">
        <v>98</v>
      </c>
      <c r="BS69" t="s">
        <v>1190</v>
      </c>
      <c r="BT69" t="str">
        <f>HYPERLINK("https%3A%2F%2Fwww.webofscience.com%2Fwos%2Fwoscc%2Ffull-record%2FWOS:000085289800019","View Full Record in Web of Science")</f>
        <v>View Full Record in Web of Science</v>
      </c>
    </row>
    <row r="70" spans="1:72" x14ac:dyDescent="0.15">
      <c r="A70" t="s">
        <v>72</v>
      </c>
      <c r="B70" t="s">
        <v>1191</v>
      </c>
      <c r="C70" t="s">
        <v>74</v>
      </c>
      <c r="D70" t="s">
        <v>74</v>
      </c>
      <c r="E70" t="s">
        <v>74</v>
      </c>
      <c r="F70" t="s">
        <v>1191</v>
      </c>
      <c r="G70" t="s">
        <v>74</v>
      </c>
      <c r="H70" t="s">
        <v>74</v>
      </c>
      <c r="I70" t="s">
        <v>1192</v>
      </c>
      <c r="J70" t="s">
        <v>1193</v>
      </c>
      <c r="K70" t="s">
        <v>74</v>
      </c>
      <c r="L70" t="s">
        <v>74</v>
      </c>
      <c r="M70" t="s">
        <v>77</v>
      </c>
      <c r="N70" t="s">
        <v>103</v>
      </c>
      <c r="O70" t="s">
        <v>74</v>
      </c>
      <c r="P70" t="s">
        <v>74</v>
      </c>
      <c r="Q70" t="s">
        <v>74</v>
      </c>
      <c r="R70" t="s">
        <v>74</v>
      </c>
      <c r="S70" t="s">
        <v>74</v>
      </c>
      <c r="T70" t="s">
        <v>1194</v>
      </c>
      <c r="U70" t="s">
        <v>1195</v>
      </c>
      <c r="V70" t="s">
        <v>1196</v>
      </c>
      <c r="W70" t="s">
        <v>1197</v>
      </c>
      <c r="X70" t="s">
        <v>1198</v>
      </c>
      <c r="Y70" t="s">
        <v>1199</v>
      </c>
      <c r="Z70" t="s">
        <v>1200</v>
      </c>
      <c r="AA70" t="s">
        <v>74</v>
      </c>
      <c r="AB70" t="s">
        <v>74</v>
      </c>
      <c r="AC70" t="s">
        <v>74</v>
      </c>
      <c r="AD70" t="s">
        <v>74</v>
      </c>
      <c r="AE70" t="s">
        <v>74</v>
      </c>
      <c r="AF70" t="s">
        <v>74</v>
      </c>
      <c r="AG70">
        <v>45</v>
      </c>
      <c r="AH70">
        <v>31</v>
      </c>
      <c r="AI70">
        <v>34</v>
      </c>
      <c r="AJ70">
        <v>1</v>
      </c>
      <c r="AK70">
        <v>10</v>
      </c>
      <c r="AL70" t="s">
        <v>1201</v>
      </c>
      <c r="AM70" t="s">
        <v>1202</v>
      </c>
      <c r="AN70" t="s">
        <v>1203</v>
      </c>
      <c r="AO70" t="s">
        <v>1204</v>
      </c>
      <c r="AP70" t="s">
        <v>1205</v>
      </c>
      <c r="AQ70" t="s">
        <v>74</v>
      </c>
      <c r="AR70" t="s">
        <v>1206</v>
      </c>
      <c r="AS70" t="s">
        <v>1207</v>
      </c>
      <c r="AT70" t="s">
        <v>74</v>
      </c>
      <c r="AU70">
        <v>1999</v>
      </c>
      <c r="AV70">
        <v>73</v>
      </c>
      <c r="AW70">
        <v>4</v>
      </c>
      <c r="AX70" t="s">
        <v>74</v>
      </c>
      <c r="AY70" t="s">
        <v>74</v>
      </c>
      <c r="AZ70" t="s">
        <v>74</v>
      </c>
      <c r="BA70" t="s">
        <v>74</v>
      </c>
      <c r="BB70">
        <v>309</v>
      </c>
      <c r="BC70">
        <v>328</v>
      </c>
      <c r="BD70" t="s">
        <v>74</v>
      </c>
      <c r="BE70" t="s">
        <v>1208</v>
      </c>
      <c r="BF70" t="str">
        <f>HYPERLINK("http://dx.doi.org/10.1080/03067319908032672","http://dx.doi.org/10.1080/03067319908032672")</f>
        <v>http://dx.doi.org/10.1080/03067319908032672</v>
      </c>
      <c r="BG70" t="s">
        <v>74</v>
      </c>
      <c r="BH70" t="s">
        <v>74</v>
      </c>
      <c r="BI70">
        <v>20</v>
      </c>
      <c r="BJ70" t="s">
        <v>1209</v>
      </c>
      <c r="BK70" t="s">
        <v>95</v>
      </c>
      <c r="BL70" t="s">
        <v>1210</v>
      </c>
      <c r="BM70" t="s">
        <v>1211</v>
      </c>
      <c r="BN70" t="s">
        <v>74</v>
      </c>
      <c r="BO70" t="s">
        <v>74</v>
      </c>
      <c r="BP70" t="s">
        <v>74</v>
      </c>
      <c r="BQ70" t="s">
        <v>74</v>
      </c>
      <c r="BR70" t="s">
        <v>98</v>
      </c>
      <c r="BS70" t="s">
        <v>1212</v>
      </c>
      <c r="BT70" t="str">
        <f>HYPERLINK("https%3A%2F%2Fwww.webofscience.com%2Fwos%2Fwoscc%2Ffull-record%2FWOS:000083045000005","View Full Record in Web of Science")</f>
        <v>View Full Record in Web of Science</v>
      </c>
    </row>
    <row r="71" spans="1:72" x14ac:dyDescent="0.15">
      <c r="A71" t="s">
        <v>72</v>
      </c>
      <c r="B71" t="s">
        <v>1213</v>
      </c>
      <c r="C71" t="s">
        <v>74</v>
      </c>
      <c r="D71" t="s">
        <v>74</v>
      </c>
      <c r="E71" t="s">
        <v>74</v>
      </c>
      <c r="F71" t="s">
        <v>1213</v>
      </c>
      <c r="G71" t="s">
        <v>74</v>
      </c>
      <c r="H71" t="s">
        <v>74</v>
      </c>
      <c r="I71" t="s">
        <v>1214</v>
      </c>
      <c r="J71" t="s">
        <v>1215</v>
      </c>
      <c r="K71" t="s">
        <v>74</v>
      </c>
      <c r="L71" t="s">
        <v>74</v>
      </c>
      <c r="M71" t="s">
        <v>77</v>
      </c>
      <c r="N71" t="s">
        <v>103</v>
      </c>
      <c r="O71" t="s">
        <v>74</v>
      </c>
      <c r="P71" t="s">
        <v>74</v>
      </c>
      <c r="Q71" t="s">
        <v>74</v>
      </c>
      <c r="R71" t="s">
        <v>74</v>
      </c>
      <c r="S71" t="s">
        <v>74</v>
      </c>
      <c r="T71" t="s">
        <v>1216</v>
      </c>
      <c r="U71" t="s">
        <v>1217</v>
      </c>
      <c r="V71" t="s">
        <v>1218</v>
      </c>
      <c r="W71" t="s">
        <v>1219</v>
      </c>
      <c r="X71" t="s">
        <v>1220</v>
      </c>
      <c r="Y71" t="s">
        <v>1221</v>
      </c>
      <c r="Z71" t="s">
        <v>1222</v>
      </c>
      <c r="AA71" t="s">
        <v>1223</v>
      </c>
      <c r="AB71" t="s">
        <v>1224</v>
      </c>
      <c r="AC71" t="s">
        <v>74</v>
      </c>
      <c r="AD71" t="s">
        <v>74</v>
      </c>
      <c r="AE71" t="s">
        <v>74</v>
      </c>
      <c r="AF71" t="s">
        <v>74</v>
      </c>
      <c r="AG71">
        <v>34</v>
      </c>
      <c r="AH71">
        <v>6</v>
      </c>
      <c r="AI71">
        <v>6</v>
      </c>
      <c r="AJ71">
        <v>0</v>
      </c>
      <c r="AK71">
        <v>3</v>
      </c>
      <c r="AL71" t="s">
        <v>655</v>
      </c>
      <c r="AM71" t="s">
        <v>656</v>
      </c>
      <c r="AN71" t="s">
        <v>657</v>
      </c>
      <c r="AO71" t="s">
        <v>1225</v>
      </c>
      <c r="AP71" t="s">
        <v>1226</v>
      </c>
      <c r="AQ71" t="s">
        <v>74</v>
      </c>
      <c r="AR71" t="s">
        <v>1227</v>
      </c>
      <c r="AS71" t="s">
        <v>1228</v>
      </c>
      <c r="AT71" t="s">
        <v>74</v>
      </c>
      <c r="AU71">
        <v>1999</v>
      </c>
      <c r="AV71">
        <v>118</v>
      </c>
      <c r="AW71">
        <v>2</v>
      </c>
      <c r="AX71" t="s">
        <v>74</v>
      </c>
      <c r="AY71" t="s">
        <v>74</v>
      </c>
      <c r="AZ71" t="s">
        <v>74</v>
      </c>
      <c r="BA71" t="s">
        <v>74</v>
      </c>
      <c r="BB71">
        <v>184</v>
      </c>
      <c r="BC71">
        <v>189</v>
      </c>
      <c r="BD71" t="s">
        <v>74</v>
      </c>
      <c r="BE71" t="s">
        <v>1229</v>
      </c>
      <c r="BF71" t="str">
        <f>HYPERLINK("http://dx.doi.org/10.2307/3227059","http://dx.doi.org/10.2307/3227059")</f>
        <v>http://dx.doi.org/10.2307/3227059</v>
      </c>
      <c r="BG71" t="s">
        <v>74</v>
      </c>
      <c r="BH71" t="s">
        <v>74</v>
      </c>
      <c r="BI71">
        <v>6</v>
      </c>
      <c r="BJ71" t="s">
        <v>1230</v>
      </c>
      <c r="BK71" t="s">
        <v>95</v>
      </c>
      <c r="BL71" t="s">
        <v>1230</v>
      </c>
      <c r="BM71" t="s">
        <v>1231</v>
      </c>
      <c r="BN71" t="s">
        <v>74</v>
      </c>
      <c r="BO71" t="s">
        <v>74</v>
      </c>
      <c r="BP71" t="s">
        <v>74</v>
      </c>
      <c r="BQ71" t="s">
        <v>74</v>
      </c>
      <c r="BR71" t="s">
        <v>98</v>
      </c>
      <c r="BS71" t="s">
        <v>1232</v>
      </c>
      <c r="BT71" t="str">
        <f>HYPERLINK("https%3A%2F%2Fwww.webofscience.com%2Fwos%2Fwoscc%2Ffull-record%2FWOS:000081009800010","View Full Record in Web of Science")</f>
        <v>View Full Record in Web of Science</v>
      </c>
    </row>
    <row r="72" spans="1:72" x14ac:dyDescent="0.15">
      <c r="A72" t="s">
        <v>215</v>
      </c>
      <c r="B72" t="s">
        <v>1233</v>
      </c>
      <c r="C72" t="s">
        <v>74</v>
      </c>
      <c r="D72" t="s">
        <v>1234</v>
      </c>
      <c r="E72" t="s">
        <v>74</v>
      </c>
      <c r="F72" t="s">
        <v>1233</v>
      </c>
      <c r="G72" t="s">
        <v>74</v>
      </c>
      <c r="H72" t="s">
        <v>74</v>
      </c>
      <c r="I72" t="s">
        <v>1235</v>
      </c>
      <c r="J72" t="s">
        <v>1236</v>
      </c>
      <c r="K72" t="s">
        <v>220</v>
      </c>
      <c r="L72" t="s">
        <v>74</v>
      </c>
      <c r="M72" t="s">
        <v>77</v>
      </c>
      <c r="N72" t="s">
        <v>123</v>
      </c>
      <c r="O72" t="s">
        <v>1237</v>
      </c>
      <c r="P72" t="s">
        <v>222</v>
      </c>
      <c r="Q72" t="s">
        <v>223</v>
      </c>
      <c r="R72" t="s">
        <v>74</v>
      </c>
      <c r="S72" t="s">
        <v>74</v>
      </c>
      <c r="T72" t="s">
        <v>74</v>
      </c>
      <c r="U72" t="s">
        <v>1238</v>
      </c>
      <c r="V72" t="s">
        <v>1239</v>
      </c>
      <c r="W72" t="s">
        <v>1240</v>
      </c>
      <c r="X72" t="s">
        <v>1241</v>
      </c>
      <c r="Y72" t="s">
        <v>1242</v>
      </c>
      <c r="Z72" t="s">
        <v>74</v>
      </c>
      <c r="AA72" t="s">
        <v>74</v>
      </c>
      <c r="AB72" t="s">
        <v>74</v>
      </c>
      <c r="AC72" t="s">
        <v>74</v>
      </c>
      <c r="AD72" t="s">
        <v>74</v>
      </c>
      <c r="AE72" t="s">
        <v>74</v>
      </c>
      <c r="AF72" t="s">
        <v>74</v>
      </c>
      <c r="AG72">
        <v>12</v>
      </c>
      <c r="AH72">
        <v>1</v>
      </c>
      <c r="AI72">
        <v>1</v>
      </c>
      <c r="AJ72">
        <v>0</v>
      </c>
      <c r="AK72">
        <v>0</v>
      </c>
      <c r="AL72" t="s">
        <v>228</v>
      </c>
      <c r="AM72" t="s">
        <v>229</v>
      </c>
      <c r="AN72" t="s">
        <v>230</v>
      </c>
      <c r="AO72" t="s">
        <v>231</v>
      </c>
      <c r="AP72" t="s">
        <v>74</v>
      </c>
      <c r="AQ72" t="s">
        <v>74</v>
      </c>
      <c r="AR72" t="s">
        <v>232</v>
      </c>
      <c r="AS72" t="s">
        <v>74</v>
      </c>
      <c r="AT72" t="s">
        <v>74</v>
      </c>
      <c r="AU72">
        <v>1999</v>
      </c>
      <c r="AV72">
        <v>24</v>
      </c>
      <c r="AW72">
        <v>11</v>
      </c>
      <c r="AX72" t="s">
        <v>74</v>
      </c>
      <c r="AY72" t="s">
        <v>74</v>
      </c>
      <c r="AZ72" t="s">
        <v>74</v>
      </c>
      <c r="BA72" t="s">
        <v>74</v>
      </c>
      <c r="BB72">
        <v>1443</v>
      </c>
      <c r="BC72">
        <v>1446</v>
      </c>
      <c r="BD72" t="s">
        <v>74</v>
      </c>
      <c r="BE72" t="s">
        <v>1243</v>
      </c>
      <c r="BF72" t="str">
        <f>HYPERLINK("http://dx.doi.org/10.1016/S0273-1177(99)00704-8","http://dx.doi.org/10.1016/S0273-1177(99)00704-8")</f>
        <v>http://dx.doi.org/10.1016/S0273-1177(99)00704-8</v>
      </c>
      <c r="BG72" t="s">
        <v>74</v>
      </c>
      <c r="BH72" t="s">
        <v>74</v>
      </c>
      <c r="BI72">
        <v>4</v>
      </c>
      <c r="BJ72" t="s">
        <v>1244</v>
      </c>
      <c r="BK72" t="s">
        <v>235</v>
      </c>
      <c r="BL72" t="s">
        <v>1245</v>
      </c>
      <c r="BM72" t="s">
        <v>1246</v>
      </c>
      <c r="BN72" t="s">
        <v>74</v>
      </c>
      <c r="BO72" t="s">
        <v>74</v>
      </c>
      <c r="BP72" t="s">
        <v>74</v>
      </c>
      <c r="BQ72" t="s">
        <v>74</v>
      </c>
      <c r="BR72" t="s">
        <v>98</v>
      </c>
      <c r="BS72" t="s">
        <v>1247</v>
      </c>
      <c r="BT72" t="str">
        <f>HYPERLINK("https%3A%2F%2Fwww.webofscience.com%2Fwos%2Fwoscc%2Ffull-record%2FWOS:000084544200003","View Full Record in Web of Science")</f>
        <v>View Full Record in Web of Science</v>
      </c>
    </row>
    <row r="73" spans="1:72" x14ac:dyDescent="0.15">
      <c r="A73" t="s">
        <v>147</v>
      </c>
      <c r="B73" t="s">
        <v>1248</v>
      </c>
      <c r="C73" t="s">
        <v>74</v>
      </c>
      <c r="D73" t="s">
        <v>1249</v>
      </c>
      <c r="E73" t="s">
        <v>74</v>
      </c>
      <c r="F73" t="s">
        <v>1248</v>
      </c>
      <c r="G73" t="s">
        <v>74</v>
      </c>
      <c r="H73" t="s">
        <v>74</v>
      </c>
      <c r="I73" t="s">
        <v>1250</v>
      </c>
      <c r="J73" t="s">
        <v>1251</v>
      </c>
      <c r="K73" t="s">
        <v>421</v>
      </c>
      <c r="L73" t="s">
        <v>74</v>
      </c>
      <c r="M73" t="s">
        <v>77</v>
      </c>
      <c r="N73" t="s">
        <v>153</v>
      </c>
      <c r="O73" t="s">
        <v>1252</v>
      </c>
      <c r="P73" t="s">
        <v>1253</v>
      </c>
      <c r="Q73" t="s">
        <v>1254</v>
      </c>
      <c r="R73" t="s">
        <v>74</v>
      </c>
      <c r="S73" t="s">
        <v>74</v>
      </c>
      <c r="T73" t="s">
        <v>74</v>
      </c>
      <c r="U73" t="s">
        <v>74</v>
      </c>
      <c r="V73" t="s">
        <v>1255</v>
      </c>
      <c r="W73" t="s">
        <v>1256</v>
      </c>
      <c r="X73" t="s">
        <v>1257</v>
      </c>
      <c r="Y73" t="s">
        <v>1258</v>
      </c>
      <c r="Z73" t="s">
        <v>74</v>
      </c>
      <c r="AA73" t="s">
        <v>74</v>
      </c>
      <c r="AB73" t="s">
        <v>74</v>
      </c>
      <c r="AC73" t="s">
        <v>74</v>
      </c>
      <c r="AD73" t="s">
        <v>74</v>
      </c>
      <c r="AE73" t="s">
        <v>74</v>
      </c>
      <c r="AF73" t="s">
        <v>74</v>
      </c>
      <c r="AG73">
        <v>15</v>
      </c>
      <c r="AH73">
        <v>17</v>
      </c>
      <c r="AI73">
        <v>19</v>
      </c>
      <c r="AJ73">
        <v>0</v>
      </c>
      <c r="AK73">
        <v>3</v>
      </c>
      <c r="AL73" t="s">
        <v>429</v>
      </c>
      <c r="AM73" t="s">
        <v>187</v>
      </c>
      <c r="AN73" t="s">
        <v>430</v>
      </c>
      <c r="AO73" t="s">
        <v>431</v>
      </c>
      <c r="AP73" t="s">
        <v>74</v>
      </c>
      <c r="AQ73" t="s">
        <v>1259</v>
      </c>
      <c r="AR73" t="s">
        <v>433</v>
      </c>
      <c r="AS73" t="s">
        <v>74</v>
      </c>
      <c r="AT73" t="s">
        <v>74</v>
      </c>
      <c r="AU73">
        <v>1999</v>
      </c>
      <c r="AV73">
        <v>440</v>
      </c>
      <c r="AW73" t="s">
        <v>74</v>
      </c>
      <c r="AX73" t="s">
        <v>74</v>
      </c>
      <c r="AY73" t="s">
        <v>74</v>
      </c>
      <c r="AZ73" t="s">
        <v>74</v>
      </c>
      <c r="BA73" t="s">
        <v>74</v>
      </c>
      <c r="BB73">
        <v>237</v>
      </c>
      <c r="BC73">
        <v>242</v>
      </c>
      <c r="BD73" t="s">
        <v>74</v>
      </c>
      <c r="BE73" t="s">
        <v>74</v>
      </c>
      <c r="BF73" t="s">
        <v>74</v>
      </c>
      <c r="BG73" t="s">
        <v>74</v>
      </c>
      <c r="BH73" t="s">
        <v>74</v>
      </c>
      <c r="BI73">
        <v>4</v>
      </c>
      <c r="BJ73" t="s">
        <v>1260</v>
      </c>
      <c r="BK73" t="s">
        <v>171</v>
      </c>
      <c r="BL73" t="s">
        <v>1261</v>
      </c>
      <c r="BM73" t="s">
        <v>1262</v>
      </c>
      <c r="BN73" t="s">
        <v>74</v>
      </c>
      <c r="BO73" t="s">
        <v>74</v>
      </c>
      <c r="BP73" t="s">
        <v>74</v>
      </c>
      <c r="BQ73" t="s">
        <v>74</v>
      </c>
      <c r="BR73" t="s">
        <v>98</v>
      </c>
      <c r="BS73" t="s">
        <v>1263</v>
      </c>
      <c r="BT73" t="str">
        <f>HYPERLINK("https%3A%2F%2Fwww.webofscience.com%2Fwos%2Fwoscc%2Ffull-record%2FWOS:000082313700032","View Full Record in Web of Science")</f>
        <v>View Full Record in Web of Science</v>
      </c>
    </row>
    <row r="74" spans="1:72" x14ac:dyDescent="0.15">
      <c r="A74" t="s">
        <v>72</v>
      </c>
      <c r="B74" t="s">
        <v>1264</v>
      </c>
      <c r="C74" t="s">
        <v>74</v>
      </c>
      <c r="D74" t="s">
        <v>74</v>
      </c>
      <c r="E74" t="s">
        <v>74</v>
      </c>
      <c r="F74" t="s">
        <v>1264</v>
      </c>
      <c r="G74" t="s">
        <v>74</v>
      </c>
      <c r="H74" t="s">
        <v>74</v>
      </c>
      <c r="I74" t="s">
        <v>1265</v>
      </c>
      <c r="J74" t="s">
        <v>1266</v>
      </c>
      <c r="K74" t="s">
        <v>74</v>
      </c>
      <c r="L74" t="s">
        <v>74</v>
      </c>
      <c r="M74" t="s">
        <v>77</v>
      </c>
      <c r="N74" t="s">
        <v>123</v>
      </c>
      <c r="O74" t="s">
        <v>1267</v>
      </c>
      <c r="P74">
        <v>1998</v>
      </c>
      <c r="Q74" t="s">
        <v>1268</v>
      </c>
      <c r="R74" t="s">
        <v>74</v>
      </c>
      <c r="S74" t="s">
        <v>74</v>
      </c>
      <c r="T74" t="s">
        <v>74</v>
      </c>
      <c r="U74" t="s">
        <v>1269</v>
      </c>
      <c r="V74" t="s">
        <v>1270</v>
      </c>
      <c r="W74" t="s">
        <v>1271</v>
      </c>
      <c r="X74" t="s">
        <v>1272</v>
      </c>
      <c r="Y74" t="s">
        <v>1273</v>
      </c>
      <c r="Z74" t="s">
        <v>1274</v>
      </c>
      <c r="AA74" t="s">
        <v>74</v>
      </c>
      <c r="AB74" t="s">
        <v>74</v>
      </c>
      <c r="AC74" t="s">
        <v>74</v>
      </c>
      <c r="AD74" t="s">
        <v>74</v>
      </c>
      <c r="AE74" t="s">
        <v>74</v>
      </c>
      <c r="AF74" t="s">
        <v>74</v>
      </c>
      <c r="AG74">
        <v>102</v>
      </c>
      <c r="AH74">
        <v>40</v>
      </c>
      <c r="AI74">
        <v>42</v>
      </c>
      <c r="AJ74">
        <v>0</v>
      </c>
      <c r="AK74">
        <v>5</v>
      </c>
      <c r="AL74" t="s">
        <v>1275</v>
      </c>
      <c r="AM74" t="s">
        <v>1276</v>
      </c>
      <c r="AN74" t="s">
        <v>1277</v>
      </c>
      <c r="AO74" t="s">
        <v>1278</v>
      </c>
      <c r="AP74" t="s">
        <v>1279</v>
      </c>
      <c r="AQ74" t="s">
        <v>74</v>
      </c>
      <c r="AR74" t="s">
        <v>1280</v>
      </c>
      <c r="AS74" t="s">
        <v>1281</v>
      </c>
      <c r="AT74" t="s">
        <v>74</v>
      </c>
      <c r="AU74">
        <v>1999</v>
      </c>
      <c r="AV74">
        <v>39</v>
      </c>
      <c r="AW74" t="s">
        <v>1282</v>
      </c>
      <c r="AX74" t="s">
        <v>74</v>
      </c>
      <c r="AY74" t="s">
        <v>74</v>
      </c>
      <c r="AZ74" t="s">
        <v>74</v>
      </c>
      <c r="BA74" t="s">
        <v>74</v>
      </c>
      <c r="BB74">
        <v>273</v>
      </c>
      <c r="BC74">
        <v>281</v>
      </c>
      <c r="BD74" t="s">
        <v>74</v>
      </c>
      <c r="BE74" t="s">
        <v>74</v>
      </c>
      <c r="BF74" t="s">
        <v>74</v>
      </c>
      <c r="BG74" t="s">
        <v>74</v>
      </c>
      <c r="BH74" t="s">
        <v>74</v>
      </c>
      <c r="BI74">
        <v>9</v>
      </c>
      <c r="BJ74" t="s">
        <v>1283</v>
      </c>
      <c r="BK74" t="s">
        <v>144</v>
      </c>
      <c r="BL74" t="s">
        <v>1284</v>
      </c>
      <c r="BM74" t="s">
        <v>1285</v>
      </c>
      <c r="BN74" t="s">
        <v>74</v>
      </c>
      <c r="BO74" t="s">
        <v>74</v>
      </c>
      <c r="BP74" t="s">
        <v>74</v>
      </c>
      <c r="BQ74" t="s">
        <v>74</v>
      </c>
      <c r="BR74" t="s">
        <v>98</v>
      </c>
      <c r="BS74" t="s">
        <v>1286</v>
      </c>
      <c r="BT74" t="str">
        <f>HYPERLINK("https%3A%2F%2Fwww.webofscience.com%2Fwos%2Fwoscc%2Ffull-record%2FWOS:000085145600008","View Full Record in Web of Science")</f>
        <v>View Full Record in Web of Science</v>
      </c>
    </row>
    <row r="75" spans="1:72" x14ac:dyDescent="0.15">
      <c r="A75" t="s">
        <v>72</v>
      </c>
      <c r="B75" t="s">
        <v>1287</v>
      </c>
      <c r="C75" t="s">
        <v>74</v>
      </c>
      <c r="D75" t="s">
        <v>74</v>
      </c>
      <c r="E75" t="s">
        <v>74</v>
      </c>
      <c r="F75" t="s">
        <v>1287</v>
      </c>
      <c r="G75" t="s">
        <v>74</v>
      </c>
      <c r="H75" t="s">
        <v>74</v>
      </c>
      <c r="I75" t="s">
        <v>1288</v>
      </c>
      <c r="J75" t="s">
        <v>1289</v>
      </c>
      <c r="K75" t="s">
        <v>74</v>
      </c>
      <c r="L75" t="s">
        <v>74</v>
      </c>
      <c r="M75" t="s">
        <v>77</v>
      </c>
      <c r="N75" t="s">
        <v>103</v>
      </c>
      <c r="O75" t="s">
        <v>74</v>
      </c>
      <c r="P75" t="s">
        <v>74</v>
      </c>
      <c r="Q75" t="s">
        <v>74</v>
      </c>
      <c r="R75" t="s">
        <v>74</v>
      </c>
      <c r="S75" t="s">
        <v>74</v>
      </c>
      <c r="T75" t="s">
        <v>1290</v>
      </c>
      <c r="U75" t="s">
        <v>1291</v>
      </c>
      <c r="V75" t="s">
        <v>1292</v>
      </c>
      <c r="W75" t="s">
        <v>1293</v>
      </c>
      <c r="X75" t="s">
        <v>1294</v>
      </c>
      <c r="Y75" t="s">
        <v>1295</v>
      </c>
      <c r="Z75" t="s">
        <v>74</v>
      </c>
      <c r="AA75" t="s">
        <v>74</v>
      </c>
      <c r="AB75" t="s">
        <v>1296</v>
      </c>
      <c r="AC75" t="s">
        <v>74</v>
      </c>
      <c r="AD75" t="s">
        <v>74</v>
      </c>
      <c r="AE75" t="s">
        <v>74</v>
      </c>
      <c r="AF75" t="s">
        <v>74</v>
      </c>
      <c r="AG75">
        <v>36</v>
      </c>
      <c r="AH75">
        <v>15</v>
      </c>
      <c r="AI75">
        <v>15</v>
      </c>
      <c r="AJ75">
        <v>0</v>
      </c>
      <c r="AK75">
        <v>0</v>
      </c>
      <c r="AL75" t="s">
        <v>1201</v>
      </c>
      <c r="AM75" t="s">
        <v>1202</v>
      </c>
      <c r="AN75" t="s">
        <v>1297</v>
      </c>
      <c r="AO75" t="s">
        <v>1298</v>
      </c>
      <c r="AP75" t="s">
        <v>1299</v>
      </c>
      <c r="AQ75" t="s">
        <v>74</v>
      </c>
      <c r="AR75" t="s">
        <v>1300</v>
      </c>
      <c r="AS75" t="s">
        <v>1301</v>
      </c>
      <c r="AT75" t="s">
        <v>74</v>
      </c>
      <c r="AU75">
        <v>1999</v>
      </c>
      <c r="AV75">
        <v>66</v>
      </c>
      <c r="AW75">
        <v>4</v>
      </c>
      <c r="AX75" t="s">
        <v>74</v>
      </c>
      <c r="AY75" t="s">
        <v>74</v>
      </c>
      <c r="AZ75" t="s">
        <v>74</v>
      </c>
      <c r="BA75" t="s">
        <v>74</v>
      </c>
      <c r="BB75">
        <v>355</v>
      </c>
      <c r="BC75">
        <v>360</v>
      </c>
      <c r="BD75" t="s">
        <v>74</v>
      </c>
      <c r="BE75" t="s">
        <v>1302</v>
      </c>
      <c r="BF75" t="str">
        <f>HYPERLINK("http://dx.doi.org/10.1080/11250009909356277","http://dx.doi.org/10.1080/11250009909356277")</f>
        <v>http://dx.doi.org/10.1080/11250009909356277</v>
      </c>
      <c r="BG75" t="s">
        <v>74</v>
      </c>
      <c r="BH75" t="s">
        <v>74</v>
      </c>
      <c r="BI75">
        <v>6</v>
      </c>
      <c r="BJ75" t="s">
        <v>117</v>
      </c>
      <c r="BK75" t="s">
        <v>95</v>
      </c>
      <c r="BL75" t="s">
        <v>117</v>
      </c>
      <c r="BM75" t="s">
        <v>1303</v>
      </c>
      <c r="BN75" t="s">
        <v>74</v>
      </c>
      <c r="BO75" t="s">
        <v>1089</v>
      </c>
      <c r="BP75" t="s">
        <v>74</v>
      </c>
      <c r="BQ75" t="s">
        <v>74</v>
      </c>
      <c r="BR75" t="s">
        <v>98</v>
      </c>
      <c r="BS75" t="s">
        <v>1304</v>
      </c>
      <c r="BT75" t="str">
        <f>HYPERLINK("https%3A%2F%2Fwww.webofscience.com%2Fwos%2Fwoscc%2Ffull-record%2FWOS:000085017700009","View Full Record in Web of Science")</f>
        <v>View Full Record in Web of Science</v>
      </c>
    </row>
    <row r="76" spans="1:72" x14ac:dyDescent="0.15">
      <c r="A76" t="s">
        <v>72</v>
      </c>
      <c r="B76" t="s">
        <v>1305</v>
      </c>
      <c r="C76" t="s">
        <v>74</v>
      </c>
      <c r="D76" t="s">
        <v>74</v>
      </c>
      <c r="E76" t="s">
        <v>74</v>
      </c>
      <c r="F76" t="s">
        <v>1305</v>
      </c>
      <c r="G76" t="s">
        <v>74</v>
      </c>
      <c r="H76" t="s">
        <v>74</v>
      </c>
      <c r="I76" t="s">
        <v>1306</v>
      </c>
      <c r="J76" t="s">
        <v>1289</v>
      </c>
      <c r="K76" t="s">
        <v>74</v>
      </c>
      <c r="L76" t="s">
        <v>74</v>
      </c>
      <c r="M76" t="s">
        <v>77</v>
      </c>
      <c r="N76" t="s">
        <v>103</v>
      </c>
      <c r="O76" t="s">
        <v>74</v>
      </c>
      <c r="P76" t="s">
        <v>74</v>
      </c>
      <c r="Q76" t="s">
        <v>74</v>
      </c>
      <c r="R76" t="s">
        <v>74</v>
      </c>
      <c r="S76" t="s">
        <v>74</v>
      </c>
      <c r="T76" t="s">
        <v>1307</v>
      </c>
      <c r="U76" t="s">
        <v>1308</v>
      </c>
      <c r="V76" t="s">
        <v>1309</v>
      </c>
      <c r="W76" t="s">
        <v>1310</v>
      </c>
      <c r="X76" t="s">
        <v>1311</v>
      </c>
      <c r="Y76" t="s">
        <v>1312</v>
      </c>
      <c r="Z76" t="s">
        <v>74</v>
      </c>
      <c r="AA76" t="s">
        <v>74</v>
      </c>
      <c r="AB76" t="s">
        <v>74</v>
      </c>
      <c r="AC76" t="s">
        <v>74</v>
      </c>
      <c r="AD76" t="s">
        <v>74</v>
      </c>
      <c r="AE76" t="s">
        <v>74</v>
      </c>
      <c r="AF76" t="s">
        <v>74</v>
      </c>
      <c r="AG76">
        <v>28</v>
      </c>
      <c r="AH76">
        <v>11</v>
      </c>
      <c r="AI76">
        <v>12</v>
      </c>
      <c r="AJ76">
        <v>0</v>
      </c>
      <c r="AK76">
        <v>2</v>
      </c>
      <c r="AL76" t="s">
        <v>1201</v>
      </c>
      <c r="AM76" t="s">
        <v>1202</v>
      </c>
      <c r="AN76" t="s">
        <v>1297</v>
      </c>
      <c r="AO76" t="s">
        <v>1298</v>
      </c>
      <c r="AP76" t="s">
        <v>1299</v>
      </c>
      <c r="AQ76" t="s">
        <v>74</v>
      </c>
      <c r="AR76" t="s">
        <v>1300</v>
      </c>
      <c r="AS76" t="s">
        <v>1301</v>
      </c>
      <c r="AT76" t="s">
        <v>74</v>
      </c>
      <c r="AU76">
        <v>1999</v>
      </c>
      <c r="AV76">
        <v>66</v>
      </c>
      <c r="AW76">
        <v>4</v>
      </c>
      <c r="AX76" t="s">
        <v>74</v>
      </c>
      <c r="AY76" t="s">
        <v>74</v>
      </c>
      <c r="AZ76" t="s">
        <v>74</v>
      </c>
      <c r="BA76" t="s">
        <v>74</v>
      </c>
      <c r="BB76">
        <v>379</v>
      </c>
      <c r="BC76">
        <v>382</v>
      </c>
      <c r="BD76" t="s">
        <v>74</v>
      </c>
      <c r="BE76" t="s">
        <v>1313</v>
      </c>
      <c r="BF76" t="str">
        <f>HYPERLINK("http://dx.doi.org/10.1080/11250009909356281","http://dx.doi.org/10.1080/11250009909356281")</f>
        <v>http://dx.doi.org/10.1080/11250009909356281</v>
      </c>
      <c r="BG76" t="s">
        <v>74</v>
      </c>
      <c r="BH76" t="s">
        <v>74</v>
      </c>
      <c r="BI76">
        <v>4</v>
      </c>
      <c r="BJ76" t="s">
        <v>117</v>
      </c>
      <c r="BK76" t="s">
        <v>95</v>
      </c>
      <c r="BL76" t="s">
        <v>117</v>
      </c>
      <c r="BM76" t="s">
        <v>1303</v>
      </c>
      <c r="BN76" t="s">
        <v>74</v>
      </c>
      <c r="BO76" t="s">
        <v>74</v>
      </c>
      <c r="BP76" t="s">
        <v>74</v>
      </c>
      <c r="BQ76" t="s">
        <v>74</v>
      </c>
      <c r="BR76" t="s">
        <v>98</v>
      </c>
      <c r="BS76" t="s">
        <v>1314</v>
      </c>
      <c r="BT76" t="str">
        <f>HYPERLINK("https%3A%2F%2Fwww.webofscience.com%2Fwos%2Fwoscc%2Ffull-record%2FWOS:000085017700013","View Full Record in Web of Science")</f>
        <v>View Full Record in Web of Science</v>
      </c>
    </row>
    <row r="77" spans="1:72" x14ac:dyDescent="0.15">
      <c r="A77" t="s">
        <v>72</v>
      </c>
      <c r="B77" t="s">
        <v>1315</v>
      </c>
      <c r="C77" t="s">
        <v>74</v>
      </c>
      <c r="D77" t="s">
        <v>74</v>
      </c>
      <c r="E77" t="s">
        <v>74</v>
      </c>
      <c r="F77" t="s">
        <v>1315</v>
      </c>
      <c r="G77" t="s">
        <v>74</v>
      </c>
      <c r="H77" t="s">
        <v>74</v>
      </c>
      <c r="I77" t="s">
        <v>1316</v>
      </c>
      <c r="J77" t="s">
        <v>1317</v>
      </c>
      <c r="K77" t="s">
        <v>74</v>
      </c>
      <c r="L77" t="s">
        <v>74</v>
      </c>
      <c r="M77" t="s">
        <v>77</v>
      </c>
      <c r="N77" t="s">
        <v>103</v>
      </c>
      <c r="O77" t="s">
        <v>74</v>
      </c>
      <c r="P77" t="s">
        <v>74</v>
      </c>
      <c r="Q77" t="s">
        <v>74</v>
      </c>
      <c r="R77" t="s">
        <v>74</v>
      </c>
      <c r="S77" t="s">
        <v>74</v>
      </c>
      <c r="T77" t="s">
        <v>1318</v>
      </c>
      <c r="U77" t="s">
        <v>1319</v>
      </c>
      <c r="V77" t="s">
        <v>1320</v>
      </c>
      <c r="W77" t="s">
        <v>1321</v>
      </c>
      <c r="X77" t="s">
        <v>1322</v>
      </c>
      <c r="Y77" t="s">
        <v>1323</v>
      </c>
      <c r="Z77" t="s">
        <v>1324</v>
      </c>
      <c r="AA77" t="s">
        <v>1325</v>
      </c>
      <c r="AB77" t="s">
        <v>1326</v>
      </c>
      <c r="AC77" t="s">
        <v>74</v>
      </c>
      <c r="AD77" t="s">
        <v>74</v>
      </c>
      <c r="AE77" t="s">
        <v>74</v>
      </c>
      <c r="AF77" t="s">
        <v>74</v>
      </c>
      <c r="AG77">
        <v>51</v>
      </c>
      <c r="AH77">
        <v>47</v>
      </c>
      <c r="AI77">
        <v>52</v>
      </c>
      <c r="AJ77">
        <v>1</v>
      </c>
      <c r="AK77">
        <v>15</v>
      </c>
      <c r="AL77" t="s">
        <v>655</v>
      </c>
      <c r="AM77" t="s">
        <v>656</v>
      </c>
      <c r="AN77" t="s">
        <v>657</v>
      </c>
      <c r="AO77" t="s">
        <v>1327</v>
      </c>
      <c r="AP77" t="s">
        <v>1328</v>
      </c>
      <c r="AQ77" t="s">
        <v>74</v>
      </c>
      <c r="AR77" t="s">
        <v>1329</v>
      </c>
      <c r="AS77" t="s">
        <v>1330</v>
      </c>
      <c r="AT77" t="s">
        <v>143</v>
      </c>
      <c r="AU77">
        <v>1999</v>
      </c>
      <c r="AV77">
        <v>68</v>
      </c>
      <c r="AW77">
        <v>1</v>
      </c>
      <c r="AX77" t="s">
        <v>74</v>
      </c>
      <c r="AY77" t="s">
        <v>74</v>
      </c>
      <c r="AZ77" t="s">
        <v>74</v>
      </c>
      <c r="BA77" t="s">
        <v>74</v>
      </c>
      <c r="BB77">
        <v>60</v>
      </c>
      <c r="BC77">
        <v>72</v>
      </c>
      <c r="BD77" t="s">
        <v>74</v>
      </c>
      <c r="BE77" t="s">
        <v>1331</v>
      </c>
      <c r="BF77" t="str">
        <f>HYPERLINK("http://dx.doi.org/10.1046/j.1365-2656.1999.00267.x","http://dx.doi.org/10.1046/j.1365-2656.1999.00267.x")</f>
        <v>http://dx.doi.org/10.1046/j.1365-2656.1999.00267.x</v>
      </c>
      <c r="BG77" t="s">
        <v>74</v>
      </c>
      <c r="BH77" t="s">
        <v>74</v>
      </c>
      <c r="BI77">
        <v>13</v>
      </c>
      <c r="BJ77" t="s">
        <v>1332</v>
      </c>
      <c r="BK77" t="s">
        <v>95</v>
      </c>
      <c r="BL77" t="s">
        <v>1333</v>
      </c>
      <c r="BM77" t="s">
        <v>1334</v>
      </c>
      <c r="BN77" t="s">
        <v>74</v>
      </c>
      <c r="BO77" t="s">
        <v>1005</v>
      </c>
      <c r="BP77" t="s">
        <v>74</v>
      </c>
      <c r="BQ77" t="s">
        <v>74</v>
      </c>
      <c r="BR77" t="s">
        <v>98</v>
      </c>
      <c r="BS77" t="s">
        <v>1335</v>
      </c>
      <c r="BT77" t="str">
        <f>HYPERLINK("https%3A%2F%2Fwww.webofscience.com%2Fwos%2Fwoscc%2Ffull-record%2FWOS:000079750400006","View Full Record in Web of Science")</f>
        <v>View Full Record in Web of Science</v>
      </c>
    </row>
    <row r="78" spans="1:72" x14ac:dyDescent="0.15">
      <c r="A78" t="s">
        <v>72</v>
      </c>
      <c r="B78" t="s">
        <v>1336</v>
      </c>
      <c r="C78" t="s">
        <v>74</v>
      </c>
      <c r="D78" t="s">
        <v>74</v>
      </c>
      <c r="E78" t="s">
        <v>74</v>
      </c>
      <c r="F78" t="s">
        <v>1336</v>
      </c>
      <c r="G78" t="s">
        <v>74</v>
      </c>
      <c r="H78" t="s">
        <v>74</v>
      </c>
      <c r="I78" t="s">
        <v>1337</v>
      </c>
      <c r="J78" t="s">
        <v>1338</v>
      </c>
      <c r="K78" t="s">
        <v>74</v>
      </c>
      <c r="L78" t="s">
        <v>74</v>
      </c>
      <c r="M78" t="s">
        <v>77</v>
      </c>
      <c r="N78" t="s">
        <v>103</v>
      </c>
      <c r="O78" t="s">
        <v>74</v>
      </c>
      <c r="P78" t="s">
        <v>74</v>
      </c>
      <c r="Q78" t="s">
        <v>74</v>
      </c>
      <c r="R78" t="s">
        <v>74</v>
      </c>
      <c r="S78" t="s">
        <v>74</v>
      </c>
      <c r="T78" t="s">
        <v>74</v>
      </c>
      <c r="U78" t="s">
        <v>74</v>
      </c>
      <c r="V78" t="s">
        <v>1339</v>
      </c>
      <c r="W78" t="s">
        <v>1340</v>
      </c>
      <c r="X78" t="s">
        <v>1341</v>
      </c>
      <c r="Y78" t="s">
        <v>1342</v>
      </c>
      <c r="Z78" t="s">
        <v>1343</v>
      </c>
      <c r="AA78" t="s">
        <v>74</v>
      </c>
      <c r="AB78" t="s">
        <v>74</v>
      </c>
      <c r="AC78" t="s">
        <v>74</v>
      </c>
      <c r="AD78" t="s">
        <v>74</v>
      </c>
      <c r="AE78" t="s">
        <v>74</v>
      </c>
      <c r="AF78" t="s">
        <v>74</v>
      </c>
      <c r="AG78">
        <v>7</v>
      </c>
      <c r="AH78">
        <v>4</v>
      </c>
      <c r="AI78">
        <v>8</v>
      </c>
      <c r="AJ78">
        <v>0</v>
      </c>
      <c r="AK78">
        <v>7</v>
      </c>
      <c r="AL78" t="s">
        <v>1344</v>
      </c>
      <c r="AM78" t="s">
        <v>1345</v>
      </c>
      <c r="AN78" t="s">
        <v>1346</v>
      </c>
      <c r="AO78" t="s">
        <v>1347</v>
      </c>
      <c r="AP78" t="s">
        <v>1348</v>
      </c>
      <c r="AQ78" t="s">
        <v>74</v>
      </c>
      <c r="AR78" t="s">
        <v>1349</v>
      </c>
      <c r="AS78" t="s">
        <v>1350</v>
      </c>
      <c r="AT78" t="s">
        <v>143</v>
      </c>
      <c r="AU78">
        <v>1999</v>
      </c>
      <c r="AV78">
        <v>16</v>
      </c>
      <c r="AW78">
        <v>1</v>
      </c>
      <c r="AX78" t="s">
        <v>74</v>
      </c>
      <c r="AY78" t="s">
        <v>74</v>
      </c>
      <c r="AZ78" t="s">
        <v>74</v>
      </c>
      <c r="BA78" t="s">
        <v>74</v>
      </c>
      <c r="BB78">
        <v>96</v>
      </c>
      <c r="BC78">
        <v>106</v>
      </c>
      <c r="BD78" t="s">
        <v>74</v>
      </c>
      <c r="BE78" t="s">
        <v>1351</v>
      </c>
      <c r="BF78" t="str">
        <f>HYPERLINK("http://dx.doi.org/10.1175/1520-0426(1999)016&lt;0096:VEIADC&gt;2.0.CO;2","http://dx.doi.org/10.1175/1520-0426(1999)016&lt;0096:VEIADC&gt;2.0.CO;2")</f>
        <v>http://dx.doi.org/10.1175/1520-0426(1999)016&lt;0096:VEIADC&gt;2.0.CO;2</v>
      </c>
      <c r="BG78" t="s">
        <v>74</v>
      </c>
      <c r="BH78" t="s">
        <v>74</v>
      </c>
      <c r="BI78">
        <v>11</v>
      </c>
      <c r="BJ78" t="s">
        <v>1352</v>
      </c>
      <c r="BK78" t="s">
        <v>95</v>
      </c>
      <c r="BL78" t="s">
        <v>1353</v>
      </c>
      <c r="BM78" t="s">
        <v>1354</v>
      </c>
      <c r="BN78" t="s">
        <v>74</v>
      </c>
      <c r="BO78" t="s">
        <v>1355</v>
      </c>
      <c r="BP78" t="s">
        <v>74</v>
      </c>
      <c r="BQ78" t="s">
        <v>74</v>
      </c>
      <c r="BR78" t="s">
        <v>98</v>
      </c>
      <c r="BS78" t="s">
        <v>1356</v>
      </c>
      <c r="BT78" t="str">
        <f>HYPERLINK("https%3A%2F%2Fwww.webofscience.com%2Fwos%2Fwoscc%2Ffull-record%2FWOS:000078261600009","View Full Record in Web of Science")</f>
        <v>View Full Record in Web of Science</v>
      </c>
    </row>
    <row r="79" spans="1:72" x14ac:dyDescent="0.15">
      <c r="A79" t="s">
        <v>72</v>
      </c>
      <c r="B79" t="s">
        <v>1357</v>
      </c>
      <c r="C79" t="s">
        <v>74</v>
      </c>
      <c r="D79" t="s">
        <v>74</v>
      </c>
      <c r="E79" t="s">
        <v>74</v>
      </c>
      <c r="F79" t="s">
        <v>1357</v>
      </c>
      <c r="G79" t="s">
        <v>74</v>
      </c>
      <c r="H79" t="s">
        <v>74</v>
      </c>
      <c r="I79" t="s">
        <v>1358</v>
      </c>
      <c r="J79" t="s">
        <v>1359</v>
      </c>
      <c r="K79" t="s">
        <v>74</v>
      </c>
      <c r="L79" t="s">
        <v>74</v>
      </c>
      <c r="M79" t="s">
        <v>77</v>
      </c>
      <c r="N79" t="s">
        <v>103</v>
      </c>
      <c r="O79" t="s">
        <v>74</v>
      </c>
      <c r="P79" t="s">
        <v>74</v>
      </c>
      <c r="Q79" t="s">
        <v>74</v>
      </c>
      <c r="R79" t="s">
        <v>74</v>
      </c>
      <c r="S79" t="s">
        <v>74</v>
      </c>
      <c r="T79" t="s">
        <v>1360</v>
      </c>
      <c r="U79" t="s">
        <v>1361</v>
      </c>
      <c r="V79" t="s">
        <v>1362</v>
      </c>
      <c r="W79" t="s">
        <v>1363</v>
      </c>
      <c r="X79" t="s">
        <v>1364</v>
      </c>
      <c r="Y79" t="s">
        <v>1365</v>
      </c>
      <c r="Z79" t="s">
        <v>74</v>
      </c>
      <c r="AA79" t="s">
        <v>1366</v>
      </c>
      <c r="AB79" t="s">
        <v>1367</v>
      </c>
      <c r="AC79" t="s">
        <v>74</v>
      </c>
      <c r="AD79" t="s">
        <v>74</v>
      </c>
      <c r="AE79" t="s">
        <v>74</v>
      </c>
      <c r="AF79" t="s">
        <v>74</v>
      </c>
      <c r="AG79">
        <v>40</v>
      </c>
      <c r="AH79">
        <v>28</v>
      </c>
      <c r="AI79">
        <v>29</v>
      </c>
      <c r="AJ79">
        <v>0</v>
      </c>
      <c r="AK79">
        <v>4</v>
      </c>
      <c r="AL79" t="s">
        <v>1368</v>
      </c>
      <c r="AM79" t="s">
        <v>866</v>
      </c>
      <c r="AN79" t="s">
        <v>1369</v>
      </c>
      <c r="AO79" t="s">
        <v>1370</v>
      </c>
      <c r="AP79" t="s">
        <v>74</v>
      </c>
      <c r="AQ79" t="s">
        <v>74</v>
      </c>
      <c r="AR79" t="s">
        <v>1371</v>
      </c>
      <c r="AS79" t="s">
        <v>1372</v>
      </c>
      <c r="AT79" t="s">
        <v>143</v>
      </c>
      <c r="AU79">
        <v>1999</v>
      </c>
      <c r="AV79">
        <v>32</v>
      </c>
      <c r="AW79">
        <v>1</v>
      </c>
      <c r="AX79" t="s">
        <v>74</v>
      </c>
      <c r="AY79" t="s">
        <v>74</v>
      </c>
      <c r="AZ79" t="s">
        <v>74</v>
      </c>
      <c r="BA79" t="s">
        <v>74</v>
      </c>
      <c r="BB79">
        <v>61</v>
      </c>
      <c r="BC79">
        <v>81</v>
      </c>
      <c r="BD79" t="s">
        <v>74</v>
      </c>
      <c r="BE79" t="s">
        <v>1373</v>
      </c>
      <c r="BF79" t="str">
        <f>HYPERLINK("http://dx.doi.org/10.1023/A:1006136712267","http://dx.doi.org/10.1023/A:1006136712267")</f>
        <v>http://dx.doi.org/10.1023/A:1006136712267</v>
      </c>
      <c r="BG79" t="s">
        <v>74</v>
      </c>
      <c r="BH79" t="s">
        <v>74</v>
      </c>
      <c r="BI79">
        <v>21</v>
      </c>
      <c r="BJ79" t="s">
        <v>1374</v>
      </c>
      <c r="BK79" t="s">
        <v>95</v>
      </c>
      <c r="BL79" t="s">
        <v>1375</v>
      </c>
      <c r="BM79" t="s">
        <v>1376</v>
      </c>
      <c r="BN79" t="s">
        <v>74</v>
      </c>
      <c r="BO79" t="s">
        <v>74</v>
      </c>
      <c r="BP79" t="s">
        <v>74</v>
      </c>
      <c r="BQ79" t="s">
        <v>74</v>
      </c>
      <c r="BR79" t="s">
        <v>98</v>
      </c>
      <c r="BS79" t="s">
        <v>1377</v>
      </c>
      <c r="BT79" t="str">
        <f>HYPERLINK("https%3A%2F%2Fwww.webofscience.com%2Fwos%2Fwoscc%2Ffull-record%2FWOS:000079289200004","View Full Record in Web of Science")</f>
        <v>View Full Record in Web of Science</v>
      </c>
    </row>
    <row r="80" spans="1:72" x14ac:dyDescent="0.15">
      <c r="A80" t="s">
        <v>72</v>
      </c>
      <c r="B80" t="s">
        <v>1378</v>
      </c>
      <c r="C80" t="s">
        <v>74</v>
      </c>
      <c r="D80" t="s">
        <v>74</v>
      </c>
      <c r="E80" t="s">
        <v>74</v>
      </c>
      <c r="F80" t="s">
        <v>1378</v>
      </c>
      <c r="G80" t="s">
        <v>74</v>
      </c>
      <c r="H80" t="s">
        <v>74</v>
      </c>
      <c r="I80" t="s">
        <v>1379</v>
      </c>
      <c r="J80" t="s">
        <v>1359</v>
      </c>
      <c r="K80" t="s">
        <v>74</v>
      </c>
      <c r="L80" t="s">
        <v>74</v>
      </c>
      <c r="M80" t="s">
        <v>77</v>
      </c>
      <c r="N80" t="s">
        <v>103</v>
      </c>
      <c r="O80" t="s">
        <v>74</v>
      </c>
      <c r="P80" t="s">
        <v>74</v>
      </c>
      <c r="Q80" t="s">
        <v>74</v>
      </c>
      <c r="R80" t="s">
        <v>74</v>
      </c>
      <c r="S80" t="s">
        <v>74</v>
      </c>
      <c r="T80" t="s">
        <v>1380</v>
      </c>
      <c r="U80" t="s">
        <v>1381</v>
      </c>
      <c r="V80" t="s">
        <v>1382</v>
      </c>
      <c r="W80" t="s">
        <v>1383</v>
      </c>
      <c r="X80" t="s">
        <v>1384</v>
      </c>
      <c r="Y80" t="s">
        <v>1385</v>
      </c>
      <c r="Z80" t="s">
        <v>74</v>
      </c>
      <c r="AA80" t="s">
        <v>74</v>
      </c>
      <c r="AB80" t="s">
        <v>74</v>
      </c>
      <c r="AC80" t="s">
        <v>74</v>
      </c>
      <c r="AD80" t="s">
        <v>74</v>
      </c>
      <c r="AE80" t="s">
        <v>74</v>
      </c>
      <c r="AF80" t="s">
        <v>74</v>
      </c>
      <c r="AG80">
        <v>58</v>
      </c>
      <c r="AH80">
        <v>8</v>
      </c>
      <c r="AI80">
        <v>11</v>
      </c>
      <c r="AJ80">
        <v>0</v>
      </c>
      <c r="AK80">
        <v>5</v>
      </c>
      <c r="AL80" t="s">
        <v>1368</v>
      </c>
      <c r="AM80" t="s">
        <v>866</v>
      </c>
      <c r="AN80" t="s">
        <v>1369</v>
      </c>
      <c r="AO80" t="s">
        <v>1370</v>
      </c>
      <c r="AP80" t="s">
        <v>74</v>
      </c>
      <c r="AQ80" t="s">
        <v>74</v>
      </c>
      <c r="AR80" t="s">
        <v>1371</v>
      </c>
      <c r="AS80" t="s">
        <v>1372</v>
      </c>
      <c r="AT80" t="s">
        <v>143</v>
      </c>
      <c r="AU80">
        <v>1999</v>
      </c>
      <c r="AV80">
        <v>32</v>
      </c>
      <c r="AW80">
        <v>1</v>
      </c>
      <c r="AX80" t="s">
        <v>74</v>
      </c>
      <c r="AY80" t="s">
        <v>74</v>
      </c>
      <c r="AZ80" t="s">
        <v>74</v>
      </c>
      <c r="BA80" t="s">
        <v>74</v>
      </c>
      <c r="BB80">
        <v>101</v>
      </c>
      <c r="BC80">
        <v>120</v>
      </c>
      <c r="BD80" t="s">
        <v>74</v>
      </c>
      <c r="BE80" t="s">
        <v>1386</v>
      </c>
      <c r="BF80" t="str">
        <f>HYPERLINK("http://dx.doi.org/10.1023/A:1006033625952","http://dx.doi.org/10.1023/A:1006033625952")</f>
        <v>http://dx.doi.org/10.1023/A:1006033625952</v>
      </c>
      <c r="BG80" t="s">
        <v>74</v>
      </c>
      <c r="BH80" t="s">
        <v>74</v>
      </c>
      <c r="BI80">
        <v>20</v>
      </c>
      <c r="BJ80" t="s">
        <v>1374</v>
      </c>
      <c r="BK80" t="s">
        <v>95</v>
      </c>
      <c r="BL80" t="s">
        <v>1375</v>
      </c>
      <c r="BM80" t="s">
        <v>1376</v>
      </c>
      <c r="BN80" t="s">
        <v>74</v>
      </c>
      <c r="BO80" t="s">
        <v>74</v>
      </c>
      <c r="BP80" t="s">
        <v>74</v>
      </c>
      <c r="BQ80" t="s">
        <v>74</v>
      </c>
      <c r="BR80" t="s">
        <v>98</v>
      </c>
      <c r="BS80" t="s">
        <v>1387</v>
      </c>
      <c r="BT80" t="str">
        <f>HYPERLINK("https%3A%2F%2Fwww.webofscience.com%2Fwos%2Fwoscc%2Ffull-record%2FWOS:000079289200006","View Full Record in Web of Science")</f>
        <v>View Full Record in Web of Science</v>
      </c>
    </row>
    <row r="81" spans="1:72" x14ac:dyDescent="0.15">
      <c r="A81" t="s">
        <v>72</v>
      </c>
      <c r="B81" t="s">
        <v>1388</v>
      </c>
      <c r="C81" t="s">
        <v>74</v>
      </c>
      <c r="D81" t="s">
        <v>74</v>
      </c>
      <c r="E81" t="s">
        <v>74</v>
      </c>
      <c r="F81" t="s">
        <v>1388</v>
      </c>
      <c r="G81" t="s">
        <v>74</v>
      </c>
      <c r="H81" t="s">
        <v>74</v>
      </c>
      <c r="I81" t="s">
        <v>1389</v>
      </c>
      <c r="J81" t="s">
        <v>1390</v>
      </c>
      <c r="K81" t="s">
        <v>74</v>
      </c>
      <c r="L81" t="s">
        <v>74</v>
      </c>
      <c r="M81" t="s">
        <v>77</v>
      </c>
      <c r="N81" t="s">
        <v>103</v>
      </c>
      <c r="O81" t="s">
        <v>74</v>
      </c>
      <c r="P81" t="s">
        <v>74</v>
      </c>
      <c r="Q81" t="s">
        <v>74</v>
      </c>
      <c r="R81" t="s">
        <v>74</v>
      </c>
      <c r="S81" t="s">
        <v>74</v>
      </c>
      <c r="T81" t="s">
        <v>1391</v>
      </c>
      <c r="U81" t="s">
        <v>1392</v>
      </c>
      <c r="V81" t="s">
        <v>1393</v>
      </c>
      <c r="W81" t="s">
        <v>1394</v>
      </c>
      <c r="X81" t="s">
        <v>1395</v>
      </c>
      <c r="Y81" t="s">
        <v>1396</v>
      </c>
      <c r="Z81" t="s">
        <v>74</v>
      </c>
      <c r="AA81" t="s">
        <v>74</v>
      </c>
      <c r="AB81" t="s">
        <v>74</v>
      </c>
      <c r="AC81" t="s">
        <v>74</v>
      </c>
      <c r="AD81" t="s">
        <v>74</v>
      </c>
      <c r="AE81" t="s">
        <v>74</v>
      </c>
      <c r="AF81" t="s">
        <v>74</v>
      </c>
      <c r="AG81">
        <v>37</v>
      </c>
      <c r="AH81">
        <v>88</v>
      </c>
      <c r="AI81">
        <v>101</v>
      </c>
      <c r="AJ81">
        <v>0</v>
      </c>
      <c r="AK81">
        <v>3</v>
      </c>
      <c r="AL81" t="s">
        <v>1201</v>
      </c>
      <c r="AM81" t="s">
        <v>1202</v>
      </c>
      <c r="AN81" t="s">
        <v>1203</v>
      </c>
      <c r="AO81" t="s">
        <v>1397</v>
      </c>
      <c r="AP81" t="s">
        <v>1398</v>
      </c>
      <c r="AQ81" t="s">
        <v>74</v>
      </c>
      <c r="AR81" t="s">
        <v>1399</v>
      </c>
      <c r="AS81" t="s">
        <v>1400</v>
      </c>
      <c r="AT81" t="s">
        <v>74</v>
      </c>
      <c r="AU81">
        <v>1999</v>
      </c>
      <c r="AV81">
        <v>21</v>
      </c>
      <c r="AW81" t="s">
        <v>74</v>
      </c>
      <c r="AX81">
        <v>2</v>
      </c>
      <c r="AY81" t="s">
        <v>74</v>
      </c>
      <c r="AZ81" t="s">
        <v>74</v>
      </c>
      <c r="BA81" t="s">
        <v>74</v>
      </c>
      <c r="BB81">
        <v>133</v>
      </c>
      <c r="BC81">
        <v>155</v>
      </c>
      <c r="BD81" t="s">
        <v>74</v>
      </c>
      <c r="BE81" t="s">
        <v>1401</v>
      </c>
      <c r="BF81" t="str">
        <f>HYPERLINK("http://dx.doi.org/10.1179/jbr.1999.21.2.133","http://dx.doi.org/10.1179/jbr.1999.21.2.133")</f>
        <v>http://dx.doi.org/10.1179/jbr.1999.21.2.133</v>
      </c>
      <c r="BG81" t="s">
        <v>74</v>
      </c>
      <c r="BH81" t="s">
        <v>74</v>
      </c>
      <c r="BI81">
        <v>23</v>
      </c>
      <c r="BJ81" t="s">
        <v>382</v>
      </c>
      <c r="BK81" t="s">
        <v>95</v>
      </c>
      <c r="BL81" t="s">
        <v>382</v>
      </c>
      <c r="BM81" t="s">
        <v>1402</v>
      </c>
      <c r="BN81" t="s">
        <v>74</v>
      </c>
      <c r="BO81" t="s">
        <v>74</v>
      </c>
      <c r="BP81" t="s">
        <v>74</v>
      </c>
      <c r="BQ81" t="s">
        <v>74</v>
      </c>
      <c r="BR81" t="s">
        <v>98</v>
      </c>
      <c r="BS81" t="s">
        <v>1403</v>
      </c>
      <c r="BT81" t="str">
        <f>HYPERLINK("https%3A%2F%2Fwww.webofscience.com%2Fwos%2Fwoscc%2Ffull-record%2FWOS:000081350600005","View Full Record in Web of Science")</f>
        <v>View Full Record in Web of Science</v>
      </c>
    </row>
    <row r="82" spans="1:72" x14ac:dyDescent="0.15">
      <c r="A82" t="s">
        <v>72</v>
      </c>
      <c r="B82" t="s">
        <v>1404</v>
      </c>
      <c r="C82" t="s">
        <v>74</v>
      </c>
      <c r="D82" t="s">
        <v>74</v>
      </c>
      <c r="E82" t="s">
        <v>74</v>
      </c>
      <c r="F82" t="s">
        <v>1404</v>
      </c>
      <c r="G82" t="s">
        <v>74</v>
      </c>
      <c r="H82" t="s">
        <v>74</v>
      </c>
      <c r="I82" t="s">
        <v>1405</v>
      </c>
      <c r="J82" t="s">
        <v>1406</v>
      </c>
      <c r="K82" t="s">
        <v>74</v>
      </c>
      <c r="L82" t="s">
        <v>74</v>
      </c>
      <c r="M82" t="s">
        <v>77</v>
      </c>
      <c r="N82" t="s">
        <v>78</v>
      </c>
      <c r="O82" t="s">
        <v>74</v>
      </c>
      <c r="P82" t="s">
        <v>74</v>
      </c>
      <c r="Q82" t="s">
        <v>74</v>
      </c>
      <c r="R82" t="s">
        <v>74</v>
      </c>
      <c r="S82" t="s">
        <v>74</v>
      </c>
      <c r="T82" t="s">
        <v>74</v>
      </c>
      <c r="U82" t="s">
        <v>1407</v>
      </c>
      <c r="V82" t="s">
        <v>1408</v>
      </c>
      <c r="W82" t="s">
        <v>1409</v>
      </c>
      <c r="X82" t="s">
        <v>1410</v>
      </c>
      <c r="Y82" t="s">
        <v>1411</v>
      </c>
      <c r="Z82" t="s">
        <v>74</v>
      </c>
      <c r="AA82" t="s">
        <v>1412</v>
      </c>
      <c r="AB82" t="s">
        <v>1413</v>
      </c>
      <c r="AC82" t="s">
        <v>74</v>
      </c>
      <c r="AD82" t="s">
        <v>74</v>
      </c>
      <c r="AE82" t="s">
        <v>74</v>
      </c>
      <c r="AF82" t="s">
        <v>74</v>
      </c>
      <c r="AG82">
        <v>105</v>
      </c>
      <c r="AH82">
        <v>72</v>
      </c>
      <c r="AI82">
        <v>75</v>
      </c>
      <c r="AJ82">
        <v>0</v>
      </c>
      <c r="AK82">
        <v>16</v>
      </c>
      <c r="AL82" t="s">
        <v>1344</v>
      </c>
      <c r="AM82" t="s">
        <v>1345</v>
      </c>
      <c r="AN82" t="s">
        <v>1346</v>
      </c>
      <c r="AO82" t="s">
        <v>1414</v>
      </c>
      <c r="AP82" t="s">
        <v>74</v>
      </c>
      <c r="AQ82" t="s">
        <v>74</v>
      </c>
      <c r="AR82" t="s">
        <v>1415</v>
      </c>
      <c r="AS82" t="s">
        <v>1416</v>
      </c>
      <c r="AT82" t="s">
        <v>143</v>
      </c>
      <c r="AU82">
        <v>1999</v>
      </c>
      <c r="AV82">
        <v>12</v>
      </c>
      <c r="AW82">
        <v>1</v>
      </c>
      <c r="AX82" t="s">
        <v>74</v>
      </c>
      <c r="AY82" t="s">
        <v>74</v>
      </c>
      <c r="AZ82" t="s">
        <v>74</v>
      </c>
      <c r="BA82" t="s">
        <v>74</v>
      </c>
      <c r="BB82">
        <v>46</v>
      </c>
      <c r="BC82">
        <v>63</v>
      </c>
      <c r="BD82" t="s">
        <v>74</v>
      </c>
      <c r="BE82" t="s">
        <v>1417</v>
      </c>
      <c r="BF82" t="str">
        <f>HYPERLINK("http://dx.doi.org/10.1175/1520-0442-12.1.46","http://dx.doi.org/10.1175/1520-0442-12.1.46")</f>
        <v>http://dx.doi.org/10.1175/1520-0442-12.1.46</v>
      </c>
      <c r="BG82" t="s">
        <v>74</v>
      </c>
      <c r="BH82" t="s">
        <v>74</v>
      </c>
      <c r="BI82">
        <v>18</v>
      </c>
      <c r="BJ82" t="s">
        <v>1418</v>
      </c>
      <c r="BK82" t="s">
        <v>95</v>
      </c>
      <c r="BL82" t="s">
        <v>1418</v>
      </c>
      <c r="BM82" t="s">
        <v>1419</v>
      </c>
      <c r="BN82" t="s">
        <v>74</v>
      </c>
      <c r="BO82" t="s">
        <v>483</v>
      </c>
      <c r="BP82" t="s">
        <v>74</v>
      </c>
      <c r="BQ82" t="s">
        <v>74</v>
      </c>
      <c r="BR82" t="s">
        <v>98</v>
      </c>
      <c r="BS82" t="s">
        <v>1420</v>
      </c>
      <c r="BT82" t="str">
        <f>HYPERLINK("https%3A%2F%2Fwww.webofscience.com%2Fwos%2Fwoscc%2Ffull-record%2FWOS:000078548300005","View Full Record in Web of Science")</f>
        <v>View Full Record in Web of Science</v>
      </c>
    </row>
    <row r="83" spans="1:72" x14ac:dyDescent="0.15">
      <c r="A83" t="s">
        <v>72</v>
      </c>
      <c r="B83" t="s">
        <v>1421</v>
      </c>
      <c r="C83" t="s">
        <v>74</v>
      </c>
      <c r="D83" t="s">
        <v>74</v>
      </c>
      <c r="E83" t="s">
        <v>74</v>
      </c>
      <c r="F83" t="s">
        <v>1421</v>
      </c>
      <c r="G83" t="s">
        <v>74</v>
      </c>
      <c r="H83" t="s">
        <v>74</v>
      </c>
      <c r="I83" t="s">
        <v>1422</v>
      </c>
      <c r="J83" t="s">
        <v>1406</v>
      </c>
      <c r="K83" t="s">
        <v>74</v>
      </c>
      <c r="L83" t="s">
        <v>74</v>
      </c>
      <c r="M83" t="s">
        <v>77</v>
      </c>
      <c r="N83" t="s">
        <v>103</v>
      </c>
      <c r="O83" t="s">
        <v>74</v>
      </c>
      <c r="P83" t="s">
        <v>74</v>
      </c>
      <c r="Q83" t="s">
        <v>74</v>
      </c>
      <c r="R83" t="s">
        <v>74</v>
      </c>
      <c r="S83" t="s">
        <v>74</v>
      </c>
      <c r="T83" t="s">
        <v>74</v>
      </c>
      <c r="U83" t="s">
        <v>1423</v>
      </c>
      <c r="V83" t="s">
        <v>1424</v>
      </c>
      <c r="W83" t="s">
        <v>1034</v>
      </c>
      <c r="X83" t="s">
        <v>562</v>
      </c>
      <c r="Y83" t="s">
        <v>1425</v>
      </c>
      <c r="Z83" t="s">
        <v>74</v>
      </c>
      <c r="AA83" t="s">
        <v>1426</v>
      </c>
      <c r="AB83" t="s">
        <v>1427</v>
      </c>
      <c r="AC83" t="s">
        <v>74</v>
      </c>
      <c r="AD83" t="s">
        <v>74</v>
      </c>
      <c r="AE83" t="s">
        <v>74</v>
      </c>
      <c r="AF83" t="s">
        <v>74</v>
      </c>
      <c r="AG83">
        <v>53</v>
      </c>
      <c r="AH83">
        <v>22</v>
      </c>
      <c r="AI83">
        <v>22</v>
      </c>
      <c r="AJ83">
        <v>0</v>
      </c>
      <c r="AK83">
        <v>0</v>
      </c>
      <c r="AL83" t="s">
        <v>1344</v>
      </c>
      <c r="AM83" t="s">
        <v>1345</v>
      </c>
      <c r="AN83" t="s">
        <v>1346</v>
      </c>
      <c r="AO83" t="s">
        <v>1414</v>
      </c>
      <c r="AP83" t="s">
        <v>74</v>
      </c>
      <c r="AQ83" t="s">
        <v>74</v>
      </c>
      <c r="AR83" t="s">
        <v>1415</v>
      </c>
      <c r="AS83" t="s">
        <v>1416</v>
      </c>
      <c r="AT83" t="s">
        <v>143</v>
      </c>
      <c r="AU83">
        <v>1999</v>
      </c>
      <c r="AV83">
        <v>12</v>
      </c>
      <c r="AW83">
        <v>1</v>
      </c>
      <c r="AX83" t="s">
        <v>74</v>
      </c>
      <c r="AY83" t="s">
        <v>74</v>
      </c>
      <c r="AZ83" t="s">
        <v>74</v>
      </c>
      <c r="BA83" t="s">
        <v>74</v>
      </c>
      <c r="BB83">
        <v>132</v>
      </c>
      <c r="BC83">
        <v>146</v>
      </c>
      <c r="BD83" t="s">
        <v>74</v>
      </c>
      <c r="BE83" t="s">
        <v>1428</v>
      </c>
      <c r="BF83" t="str">
        <f>HYPERLINK("http://dx.doi.org/10.1175/1520-0442-12.1.132","http://dx.doi.org/10.1175/1520-0442-12.1.132")</f>
        <v>http://dx.doi.org/10.1175/1520-0442-12.1.132</v>
      </c>
      <c r="BG83" t="s">
        <v>74</v>
      </c>
      <c r="BH83" t="s">
        <v>74</v>
      </c>
      <c r="BI83">
        <v>15</v>
      </c>
      <c r="BJ83" t="s">
        <v>1418</v>
      </c>
      <c r="BK83" t="s">
        <v>95</v>
      </c>
      <c r="BL83" t="s">
        <v>1418</v>
      </c>
      <c r="BM83" t="s">
        <v>1419</v>
      </c>
      <c r="BN83" t="s">
        <v>74</v>
      </c>
      <c r="BO83" t="s">
        <v>1429</v>
      </c>
      <c r="BP83" t="s">
        <v>74</v>
      </c>
      <c r="BQ83" t="s">
        <v>74</v>
      </c>
      <c r="BR83" t="s">
        <v>98</v>
      </c>
      <c r="BS83" t="s">
        <v>1430</v>
      </c>
      <c r="BT83" t="str">
        <f>HYPERLINK("https%3A%2F%2Fwww.webofscience.com%2Fwos%2Fwoscc%2Ffull-record%2FWOS:000078548300012","View Full Record in Web of Science")</f>
        <v>View Full Record in Web of Science</v>
      </c>
    </row>
    <row r="84" spans="1:72" x14ac:dyDescent="0.15">
      <c r="A84" t="s">
        <v>72</v>
      </c>
      <c r="B84" t="s">
        <v>1431</v>
      </c>
      <c r="C84" t="s">
        <v>74</v>
      </c>
      <c r="D84" t="s">
        <v>74</v>
      </c>
      <c r="E84" t="s">
        <v>74</v>
      </c>
      <c r="F84" t="s">
        <v>1431</v>
      </c>
      <c r="G84" t="s">
        <v>74</v>
      </c>
      <c r="H84" t="s">
        <v>74</v>
      </c>
      <c r="I84" t="s">
        <v>1432</v>
      </c>
      <c r="J84" t="s">
        <v>1433</v>
      </c>
      <c r="K84" t="s">
        <v>74</v>
      </c>
      <c r="L84" t="s">
        <v>74</v>
      </c>
      <c r="M84" t="s">
        <v>77</v>
      </c>
      <c r="N84" t="s">
        <v>103</v>
      </c>
      <c r="O84" t="s">
        <v>74</v>
      </c>
      <c r="P84" t="s">
        <v>74</v>
      </c>
      <c r="Q84" t="s">
        <v>74</v>
      </c>
      <c r="R84" t="s">
        <v>74</v>
      </c>
      <c r="S84" t="s">
        <v>74</v>
      </c>
      <c r="T84" t="s">
        <v>1434</v>
      </c>
      <c r="U84" t="s">
        <v>1435</v>
      </c>
      <c r="V84" t="s">
        <v>1436</v>
      </c>
      <c r="W84" t="s">
        <v>1437</v>
      </c>
      <c r="X84" t="s">
        <v>628</v>
      </c>
      <c r="Y84" t="s">
        <v>1438</v>
      </c>
      <c r="Z84" t="s">
        <v>1439</v>
      </c>
      <c r="AA84" t="s">
        <v>74</v>
      </c>
      <c r="AB84" t="s">
        <v>74</v>
      </c>
      <c r="AC84" t="s">
        <v>74</v>
      </c>
      <c r="AD84" t="s">
        <v>74</v>
      </c>
      <c r="AE84" t="s">
        <v>74</v>
      </c>
      <c r="AF84" t="s">
        <v>74</v>
      </c>
      <c r="AG84">
        <v>47</v>
      </c>
      <c r="AH84">
        <v>14</v>
      </c>
      <c r="AI84">
        <v>14</v>
      </c>
      <c r="AJ84">
        <v>0</v>
      </c>
      <c r="AK84">
        <v>5</v>
      </c>
      <c r="AL84" t="s">
        <v>655</v>
      </c>
      <c r="AM84" t="s">
        <v>656</v>
      </c>
      <c r="AN84" t="s">
        <v>657</v>
      </c>
      <c r="AO84" t="s">
        <v>1440</v>
      </c>
      <c r="AP84" t="s">
        <v>1441</v>
      </c>
      <c r="AQ84" t="s">
        <v>74</v>
      </c>
      <c r="AR84" t="s">
        <v>1442</v>
      </c>
      <c r="AS84" t="s">
        <v>1443</v>
      </c>
      <c r="AT84" t="s">
        <v>143</v>
      </c>
      <c r="AU84">
        <v>1999</v>
      </c>
      <c r="AV84">
        <v>54</v>
      </c>
      <c r="AW84">
        <v>1</v>
      </c>
      <c r="AX84" t="s">
        <v>74</v>
      </c>
      <c r="AY84" t="s">
        <v>74</v>
      </c>
      <c r="AZ84" t="s">
        <v>74</v>
      </c>
      <c r="BA84" t="s">
        <v>74</v>
      </c>
      <c r="BB84">
        <v>72</v>
      </c>
      <c r="BC84">
        <v>81</v>
      </c>
      <c r="BD84" t="s">
        <v>74</v>
      </c>
      <c r="BE84" t="s">
        <v>1444</v>
      </c>
      <c r="BF84" t="str">
        <f>HYPERLINK("http://dx.doi.org/10.1006/jfbi.1998.0845","http://dx.doi.org/10.1006/jfbi.1998.0845")</f>
        <v>http://dx.doi.org/10.1006/jfbi.1998.0845</v>
      </c>
      <c r="BG84" t="s">
        <v>74</v>
      </c>
      <c r="BH84" t="s">
        <v>74</v>
      </c>
      <c r="BI84">
        <v>10</v>
      </c>
      <c r="BJ84" t="s">
        <v>1445</v>
      </c>
      <c r="BK84" t="s">
        <v>95</v>
      </c>
      <c r="BL84" t="s">
        <v>1445</v>
      </c>
      <c r="BM84" t="s">
        <v>1446</v>
      </c>
      <c r="BN84" t="s">
        <v>74</v>
      </c>
      <c r="BO84" t="s">
        <v>74</v>
      </c>
      <c r="BP84" t="s">
        <v>74</v>
      </c>
      <c r="BQ84" t="s">
        <v>74</v>
      </c>
      <c r="BR84" t="s">
        <v>98</v>
      </c>
      <c r="BS84" t="s">
        <v>1447</v>
      </c>
      <c r="BT84" t="str">
        <f>HYPERLINK("https%3A%2F%2Fwww.webofscience.com%2Fwos%2Fwoscc%2Ffull-record%2FWOS:000078020700006","View Full Record in Web of Science")</f>
        <v>View Full Record in Web of Science</v>
      </c>
    </row>
    <row r="85" spans="1:72" x14ac:dyDescent="0.15">
      <c r="A85" t="s">
        <v>72</v>
      </c>
      <c r="B85" t="s">
        <v>1448</v>
      </c>
      <c r="C85" t="s">
        <v>74</v>
      </c>
      <c r="D85" t="s">
        <v>74</v>
      </c>
      <c r="E85" t="s">
        <v>74</v>
      </c>
      <c r="F85" t="s">
        <v>1448</v>
      </c>
      <c r="G85" t="s">
        <v>74</v>
      </c>
      <c r="H85" t="s">
        <v>74</v>
      </c>
      <c r="I85" t="s">
        <v>1449</v>
      </c>
      <c r="J85" t="s">
        <v>1450</v>
      </c>
      <c r="K85" t="s">
        <v>74</v>
      </c>
      <c r="L85" t="s">
        <v>74</v>
      </c>
      <c r="M85" t="s">
        <v>77</v>
      </c>
      <c r="N85" t="s">
        <v>103</v>
      </c>
      <c r="O85" t="s">
        <v>74</v>
      </c>
      <c r="P85" t="s">
        <v>74</v>
      </c>
      <c r="Q85" t="s">
        <v>74</v>
      </c>
      <c r="R85" t="s">
        <v>74</v>
      </c>
      <c r="S85" t="s">
        <v>74</v>
      </c>
      <c r="T85" t="s">
        <v>74</v>
      </c>
      <c r="U85" t="s">
        <v>1451</v>
      </c>
      <c r="V85" t="s">
        <v>1452</v>
      </c>
      <c r="W85" t="s">
        <v>1453</v>
      </c>
      <c r="X85" t="s">
        <v>1454</v>
      </c>
      <c r="Y85" t="s">
        <v>1455</v>
      </c>
      <c r="Z85" t="s">
        <v>1456</v>
      </c>
      <c r="AA85" t="s">
        <v>74</v>
      </c>
      <c r="AB85" t="s">
        <v>1457</v>
      </c>
      <c r="AC85" t="s">
        <v>74</v>
      </c>
      <c r="AD85" t="s">
        <v>74</v>
      </c>
      <c r="AE85" t="s">
        <v>74</v>
      </c>
      <c r="AF85" t="s">
        <v>74</v>
      </c>
      <c r="AG85">
        <v>22</v>
      </c>
      <c r="AH85">
        <v>17</v>
      </c>
      <c r="AI85">
        <v>17</v>
      </c>
      <c r="AJ85">
        <v>0</v>
      </c>
      <c r="AK85">
        <v>2</v>
      </c>
      <c r="AL85" t="s">
        <v>966</v>
      </c>
      <c r="AM85" t="s">
        <v>967</v>
      </c>
      <c r="AN85" t="s">
        <v>968</v>
      </c>
      <c r="AO85" t="s">
        <v>1458</v>
      </c>
      <c r="AP85" t="s">
        <v>1459</v>
      </c>
      <c r="AQ85" t="s">
        <v>74</v>
      </c>
      <c r="AR85" t="s">
        <v>1460</v>
      </c>
      <c r="AS85" t="s">
        <v>1461</v>
      </c>
      <c r="AT85" t="s">
        <v>972</v>
      </c>
      <c r="AU85">
        <v>1999</v>
      </c>
      <c r="AV85">
        <v>104</v>
      </c>
      <c r="AW85" t="s">
        <v>1462</v>
      </c>
      <c r="AX85" t="s">
        <v>74</v>
      </c>
      <c r="AY85" t="s">
        <v>74</v>
      </c>
      <c r="AZ85" t="s">
        <v>74</v>
      </c>
      <c r="BA85" t="s">
        <v>74</v>
      </c>
      <c r="BB85">
        <v>305</v>
      </c>
      <c r="BC85">
        <v>310</v>
      </c>
      <c r="BD85" t="s">
        <v>74</v>
      </c>
      <c r="BE85" t="s">
        <v>1463</v>
      </c>
      <c r="BF85" t="str">
        <f>HYPERLINK("http://dx.doi.org/10.1029/1998JA900002","http://dx.doi.org/10.1029/1998JA900002")</f>
        <v>http://dx.doi.org/10.1029/1998JA900002</v>
      </c>
      <c r="BG85" t="s">
        <v>74</v>
      </c>
      <c r="BH85" t="s">
        <v>74</v>
      </c>
      <c r="BI85">
        <v>6</v>
      </c>
      <c r="BJ85" t="s">
        <v>1464</v>
      </c>
      <c r="BK85" t="s">
        <v>95</v>
      </c>
      <c r="BL85" t="s">
        <v>1464</v>
      </c>
      <c r="BM85" t="s">
        <v>1465</v>
      </c>
      <c r="BN85" t="s">
        <v>74</v>
      </c>
      <c r="BO85" t="s">
        <v>1089</v>
      </c>
      <c r="BP85" t="s">
        <v>74</v>
      </c>
      <c r="BQ85" t="s">
        <v>74</v>
      </c>
      <c r="BR85" t="s">
        <v>98</v>
      </c>
      <c r="BS85" t="s">
        <v>1466</v>
      </c>
      <c r="BT85" t="str">
        <f>HYPERLINK("https%3A%2F%2Fwww.webofscience.com%2Fwos%2Fwoscc%2Ffull-record%2FWOS:000078116000025","View Full Record in Web of Science")</f>
        <v>View Full Record in Web of Science</v>
      </c>
    </row>
    <row r="86" spans="1:72" x14ac:dyDescent="0.15">
      <c r="A86" t="s">
        <v>72</v>
      </c>
      <c r="B86" t="s">
        <v>1467</v>
      </c>
      <c r="C86" t="s">
        <v>74</v>
      </c>
      <c r="D86" t="s">
        <v>74</v>
      </c>
      <c r="E86" t="s">
        <v>74</v>
      </c>
      <c r="F86" t="s">
        <v>1467</v>
      </c>
      <c r="G86" t="s">
        <v>74</v>
      </c>
      <c r="H86" t="s">
        <v>74</v>
      </c>
      <c r="I86" t="s">
        <v>1468</v>
      </c>
      <c r="J86" t="s">
        <v>1450</v>
      </c>
      <c r="K86" t="s">
        <v>74</v>
      </c>
      <c r="L86" t="s">
        <v>74</v>
      </c>
      <c r="M86" t="s">
        <v>77</v>
      </c>
      <c r="N86" t="s">
        <v>103</v>
      </c>
      <c r="O86" t="s">
        <v>74</v>
      </c>
      <c r="P86" t="s">
        <v>74</v>
      </c>
      <c r="Q86" t="s">
        <v>74</v>
      </c>
      <c r="R86" t="s">
        <v>74</v>
      </c>
      <c r="S86" t="s">
        <v>74</v>
      </c>
      <c r="T86" t="s">
        <v>74</v>
      </c>
      <c r="U86" t="s">
        <v>1469</v>
      </c>
      <c r="V86" t="s">
        <v>1470</v>
      </c>
      <c r="W86" t="s">
        <v>1471</v>
      </c>
      <c r="X86" t="s">
        <v>1472</v>
      </c>
      <c r="Y86" t="s">
        <v>1473</v>
      </c>
      <c r="Z86" t="s">
        <v>1474</v>
      </c>
      <c r="AA86" t="s">
        <v>1475</v>
      </c>
      <c r="AB86" t="s">
        <v>1476</v>
      </c>
      <c r="AC86" t="s">
        <v>74</v>
      </c>
      <c r="AD86" t="s">
        <v>74</v>
      </c>
      <c r="AE86" t="s">
        <v>74</v>
      </c>
      <c r="AF86" t="s">
        <v>74</v>
      </c>
      <c r="AG86">
        <v>37</v>
      </c>
      <c r="AH86">
        <v>38</v>
      </c>
      <c r="AI86">
        <v>40</v>
      </c>
      <c r="AJ86">
        <v>0</v>
      </c>
      <c r="AK86">
        <v>0</v>
      </c>
      <c r="AL86" t="s">
        <v>966</v>
      </c>
      <c r="AM86" t="s">
        <v>967</v>
      </c>
      <c r="AN86" t="s">
        <v>968</v>
      </c>
      <c r="AO86" t="s">
        <v>1458</v>
      </c>
      <c r="AP86" t="s">
        <v>1459</v>
      </c>
      <c r="AQ86" t="s">
        <v>74</v>
      </c>
      <c r="AR86" t="s">
        <v>1460</v>
      </c>
      <c r="AS86" t="s">
        <v>1461</v>
      </c>
      <c r="AT86" t="s">
        <v>972</v>
      </c>
      <c r="AU86">
        <v>1999</v>
      </c>
      <c r="AV86">
        <v>104</v>
      </c>
      <c r="AW86" t="s">
        <v>1462</v>
      </c>
      <c r="AX86" t="s">
        <v>74</v>
      </c>
      <c r="AY86" t="s">
        <v>74</v>
      </c>
      <c r="AZ86" t="s">
        <v>74</v>
      </c>
      <c r="BA86" t="s">
        <v>74</v>
      </c>
      <c r="BB86">
        <v>437</v>
      </c>
      <c r="BC86">
        <v>447</v>
      </c>
      <c r="BD86" t="s">
        <v>74</v>
      </c>
      <c r="BE86" t="s">
        <v>1477</v>
      </c>
      <c r="BF86" t="str">
        <f>HYPERLINK("http://dx.doi.org/10.1029/1998JA900044","http://dx.doi.org/10.1029/1998JA900044")</f>
        <v>http://dx.doi.org/10.1029/1998JA900044</v>
      </c>
      <c r="BG86" t="s">
        <v>74</v>
      </c>
      <c r="BH86" t="s">
        <v>74</v>
      </c>
      <c r="BI86">
        <v>11</v>
      </c>
      <c r="BJ86" t="s">
        <v>1464</v>
      </c>
      <c r="BK86" t="s">
        <v>95</v>
      </c>
      <c r="BL86" t="s">
        <v>1464</v>
      </c>
      <c r="BM86" t="s">
        <v>1465</v>
      </c>
      <c r="BN86" t="s">
        <v>74</v>
      </c>
      <c r="BO86" t="s">
        <v>1089</v>
      </c>
      <c r="BP86" t="s">
        <v>74</v>
      </c>
      <c r="BQ86" t="s">
        <v>74</v>
      </c>
      <c r="BR86" t="s">
        <v>98</v>
      </c>
      <c r="BS86" t="s">
        <v>1478</v>
      </c>
      <c r="BT86" t="str">
        <f>HYPERLINK("https%3A%2F%2Fwww.webofscience.com%2Fwos%2Fwoscc%2Ffull-record%2FWOS:000078116000034","View Full Record in Web of Science")</f>
        <v>View Full Record in Web of Science</v>
      </c>
    </row>
    <row r="87" spans="1:72" x14ac:dyDescent="0.15">
      <c r="A87" t="s">
        <v>72</v>
      </c>
      <c r="B87" t="s">
        <v>1479</v>
      </c>
      <c r="C87" t="s">
        <v>74</v>
      </c>
      <c r="D87" t="s">
        <v>74</v>
      </c>
      <c r="E87" t="s">
        <v>74</v>
      </c>
      <c r="F87" t="s">
        <v>1479</v>
      </c>
      <c r="G87" t="s">
        <v>74</v>
      </c>
      <c r="H87" t="s">
        <v>74</v>
      </c>
      <c r="I87" t="s">
        <v>1480</v>
      </c>
      <c r="J87" t="s">
        <v>1481</v>
      </c>
      <c r="K87" t="s">
        <v>74</v>
      </c>
      <c r="L87" t="s">
        <v>74</v>
      </c>
      <c r="M87" t="s">
        <v>77</v>
      </c>
      <c r="N87" t="s">
        <v>103</v>
      </c>
      <c r="O87" t="s">
        <v>74</v>
      </c>
      <c r="P87" t="s">
        <v>74</v>
      </c>
      <c r="Q87" t="s">
        <v>74</v>
      </c>
      <c r="R87" t="s">
        <v>74</v>
      </c>
      <c r="S87" t="s">
        <v>74</v>
      </c>
      <c r="T87" t="s">
        <v>74</v>
      </c>
      <c r="U87" t="s">
        <v>1482</v>
      </c>
      <c r="V87" t="s">
        <v>1483</v>
      </c>
      <c r="W87" t="s">
        <v>1484</v>
      </c>
      <c r="X87" t="s">
        <v>1485</v>
      </c>
      <c r="Y87" t="s">
        <v>1486</v>
      </c>
      <c r="Z87" t="s">
        <v>74</v>
      </c>
      <c r="AA87" t="s">
        <v>74</v>
      </c>
      <c r="AB87" t="s">
        <v>74</v>
      </c>
      <c r="AC87" t="s">
        <v>74</v>
      </c>
      <c r="AD87" t="s">
        <v>74</v>
      </c>
      <c r="AE87" t="s">
        <v>74</v>
      </c>
      <c r="AF87" t="s">
        <v>74</v>
      </c>
      <c r="AG87">
        <v>50</v>
      </c>
      <c r="AH87">
        <v>44</v>
      </c>
      <c r="AI87">
        <v>46</v>
      </c>
      <c r="AJ87">
        <v>0</v>
      </c>
      <c r="AK87">
        <v>4</v>
      </c>
      <c r="AL87" t="s">
        <v>1487</v>
      </c>
      <c r="AM87" t="s">
        <v>395</v>
      </c>
      <c r="AN87" t="s">
        <v>1488</v>
      </c>
      <c r="AO87" t="s">
        <v>1489</v>
      </c>
      <c r="AP87" t="s">
        <v>74</v>
      </c>
      <c r="AQ87" t="s">
        <v>74</v>
      </c>
      <c r="AR87" t="s">
        <v>1490</v>
      </c>
      <c r="AS87" t="s">
        <v>1491</v>
      </c>
      <c r="AT87" t="s">
        <v>74</v>
      </c>
      <c r="AU87">
        <v>1999</v>
      </c>
      <c r="AV87">
        <v>45</v>
      </c>
      <c r="AW87">
        <v>149</v>
      </c>
      <c r="AX87" t="s">
        <v>74</v>
      </c>
      <c r="AY87" t="s">
        <v>74</v>
      </c>
      <c r="AZ87" t="s">
        <v>74</v>
      </c>
      <c r="BA87" t="s">
        <v>74</v>
      </c>
      <c r="BB87">
        <v>41</v>
      </c>
      <c r="BC87">
        <v>53</v>
      </c>
      <c r="BD87" t="s">
        <v>74</v>
      </c>
      <c r="BE87" t="s">
        <v>1492</v>
      </c>
      <c r="BF87" t="str">
        <f>HYPERLINK("http://dx.doi.org/10.3189/S0022143000003026","http://dx.doi.org/10.3189/S0022143000003026")</f>
        <v>http://dx.doi.org/10.3189/S0022143000003026</v>
      </c>
      <c r="BG87" t="s">
        <v>74</v>
      </c>
      <c r="BH87" t="s">
        <v>74</v>
      </c>
      <c r="BI87">
        <v>13</v>
      </c>
      <c r="BJ87" t="s">
        <v>1044</v>
      </c>
      <c r="BK87" t="s">
        <v>95</v>
      </c>
      <c r="BL87" t="s">
        <v>936</v>
      </c>
      <c r="BM87" t="s">
        <v>1493</v>
      </c>
      <c r="BN87" t="s">
        <v>74</v>
      </c>
      <c r="BO87" t="s">
        <v>986</v>
      </c>
      <c r="BP87" t="s">
        <v>74</v>
      </c>
      <c r="BQ87" t="s">
        <v>74</v>
      </c>
      <c r="BR87" t="s">
        <v>98</v>
      </c>
      <c r="BS87" t="s">
        <v>1494</v>
      </c>
      <c r="BT87" t="str">
        <f>HYPERLINK("https%3A%2F%2Fwww.webofscience.com%2Fwos%2Fwoscc%2Ffull-record%2FWOS:000080138700006","View Full Record in Web of Science")</f>
        <v>View Full Record in Web of Science</v>
      </c>
    </row>
    <row r="88" spans="1:72" x14ac:dyDescent="0.15">
      <c r="A88" t="s">
        <v>72</v>
      </c>
      <c r="B88" t="s">
        <v>1495</v>
      </c>
      <c r="C88" t="s">
        <v>74</v>
      </c>
      <c r="D88" t="s">
        <v>74</v>
      </c>
      <c r="E88" t="s">
        <v>74</v>
      </c>
      <c r="F88" t="s">
        <v>1495</v>
      </c>
      <c r="G88" t="s">
        <v>74</v>
      </c>
      <c r="H88" t="s">
        <v>74</v>
      </c>
      <c r="I88" t="s">
        <v>1496</v>
      </c>
      <c r="J88" t="s">
        <v>1481</v>
      </c>
      <c r="K88" t="s">
        <v>74</v>
      </c>
      <c r="L88" t="s">
        <v>74</v>
      </c>
      <c r="M88" t="s">
        <v>77</v>
      </c>
      <c r="N88" t="s">
        <v>103</v>
      </c>
      <c r="O88" t="s">
        <v>74</v>
      </c>
      <c r="P88" t="s">
        <v>74</v>
      </c>
      <c r="Q88" t="s">
        <v>74</v>
      </c>
      <c r="R88" t="s">
        <v>74</v>
      </c>
      <c r="S88" t="s">
        <v>74</v>
      </c>
      <c r="T88" t="s">
        <v>74</v>
      </c>
      <c r="U88" t="s">
        <v>1497</v>
      </c>
      <c r="V88" t="s">
        <v>1498</v>
      </c>
      <c r="W88" t="s">
        <v>1499</v>
      </c>
      <c r="X88" t="s">
        <v>1500</v>
      </c>
      <c r="Y88" t="s">
        <v>1501</v>
      </c>
      <c r="Z88" t="s">
        <v>74</v>
      </c>
      <c r="AA88" t="s">
        <v>74</v>
      </c>
      <c r="AB88" t="s">
        <v>74</v>
      </c>
      <c r="AC88" t="s">
        <v>74</v>
      </c>
      <c r="AD88" t="s">
        <v>74</v>
      </c>
      <c r="AE88" t="s">
        <v>74</v>
      </c>
      <c r="AF88" t="s">
        <v>74</v>
      </c>
      <c r="AG88">
        <v>39</v>
      </c>
      <c r="AH88">
        <v>4</v>
      </c>
      <c r="AI88">
        <v>6</v>
      </c>
      <c r="AJ88">
        <v>0</v>
      </c>
      <c r="AK88">
        <v>5</v>
      </c>
      <c r="AL88" t="s">
        <v>948</v>
      </c>
      <c r="AM88" t="s">
        <v>395</v>
      </c>
      <c r="AN88" t="s">
        <v>1502</v>
      </c>
      <c r="AO88" t="s">
        <v>1489</v>
      </c>
      <c r="AP88" t="s">
        <v>1503</v>
      </c>
      <c r="AQ88" t="s">
        <v>74</v>
      </c>
      <c r="AR88" t="s">
        <v>1490</v>
      </c>
      <c r="AS88" t="s">
        <v>1491</v>
      </c>
      <c r="AT88" t="s">
        <v>74</v>
      </c>
      <c r="AU88">
        <v>1999</v>
      </c>
      <c r="AV88">
        <v>45</v>
      </c>
      <c r="AW88">
        <v>149</v>
      </c>
      <c r="AX88" t="s">
        <v>74</v>
      </c>
      <c r="AY88" t="s">
        <v>74</v>
      </c>
      <c r="AZ88" t="s">
        <v>74</v>
      </c>
      <c r="BA88" t="s">
        <v>74</v>
      </c>
      <c r="BB88">
        <v>154</v>
      </c>
      <c r="BC88">
        <v>164</v>
      </c>
      <c r="BD88" t="s">
        <v>74</v>
      </c>
      <c r="BE88" t="s">
        <v>74</v>
      </c>
      <c r="BF88" t="s">
        <v>74</v>
      </c>
      <c r="BG88" t="s">
        <v>74</v>
      </c>
      <c r="BH88" t="s">
        <v>74</v>
      </c>
      <c r="BI88">
        <v>11</v>
      </c>
      <c r="BJ88" t="s">
        <v>1044</v>
      </c>
      <c r="BK88" t="s">
        <v>95</v>
      </c>
      <c r="BL88" t="s">
        <v>936</v>
      </c>
      <c r="BM88" t="s">
        <v>1493</v>
      </c>
      <c r="BN88" t="s">
        <v>74</v>
      </c>
      <c r="BO88" t="s">
        <v>74</v>
      </c>
      <c r="BP88" t="s">
        <v>74</v>
      </c>
      <c r="BQ88" t="s">
        <v>74</v>
      </c>
      <c r="BR88" t="s">
        <v>98</v>
      </c>
      <c r="BS88" t="s">
        <v>1504</v>
      </c>
      <c r="BT88" t="str">
        <f>HYPERLINK("https%3A%2F%2Fwww.webofscience.com%2Fwos%2Fwoscc%2Ffull-record%2FWOS:000080138700017","View Full Record in Web of Science")</f>
        <v>View Full Record in Web of Science</v>
      </c>
    </row>
    <row r="89" spans="1:72" x14ac:dyDescent="0.15">
      <c r="A89" t="s">
        <v>72</v>
      </c>
      <c r="B89" t="s">
        <v>1505</v>
      </c>
      <c r="C89" t="s">
        <v>74</v>
      </c>
      <c r="D89" t="s">
        <v>74</v>
      </c>
      <c r="E89" t="s">
        <v>74</v>
      </c>
      <c r="F89" t="s">
        <v>1505</v>
      </c>
      <c r="G89" t="s">
        <v>74</v>
      </c>
      <c r="H89" t="s">
        <v>74</v>
      </c>
      <c r="I89" t="s">
        <v>1506</v>
      </c>
      <c r="J89" t="s">
        <v>1481</v>
      </c>
      <c r="K89" t="s">
        <v>74</v>
      </c>
      <c r="L89" t="s">
        <v>74</v>
      </c>
      <c r="M89" t="s">
        <v>77</v>
      </c>
      <c r="N89" t="s">
        <v>103</v>
      </c>
      <c r="O89" t="s">
        <v>74</v>
      </c>
      <c r="P89" t="s">
        <v>74</v>
      </c>
      <c r="Q89" t="s">
        <v>74</v>
      </c>
      <c r="R89" t="s">
        <v>74</v>
      </c>
      <c r="S89" t="s">
        <v>74</v>
      </c>
      <c r="T89" t="s">
        <v>74</v>
      </c>
      <c r="U89" t="s">
        <v>1507</v>
      </c>
      <c r="V89" t="s">
        <v>1508</v>
      </c>
      <c r="W89" t="s">
        <v>944</v>
      </c>
      <c r="X89" t="s">
        <v>628</v>
      </c>
      <c r="Y89" t="s">
        <v>1509</v>
      </c>
      <c r="Z89" t="s">
        <v>74</v>
      </c>
      <c r="AA89" t="s">
        <v>1510</v>
      </c>
      <c r="AB89" t="s">
        <v>1511</v>
      </c>
      <c r="AC89" t="s">
        <v>74</v>
      </c>
      <c r="AD89" t="s">
        <v>74</v>
      </c>
      <c r="AE89" t="s">
        <v>74</v>
      </c>
      <c r="AF89" t="s">
        <v>74</v>
      </c>
      <c r="AG89">
        <v>10</v>
      </c>
      <c r="AH89">
        <v>16</v>
      </c>
      <c r="AI89">
        <v>16</v>
      </c>
      <c r="AJ89">
        <v>0</v>
      </c>
      <c r="AK89">
        <v>2</v>
      </c>
      <c r="AL89" t="s">
        <v>1487</v>
      </c>
      <c r="AM89" t="s">
        <v>395</v>
      </c>
      <c r="AN89" t="s">
        <v>1488</v>
      </c>
      <c r="AO89" t="s">
        <v>1489</v>
      </c>
      <c r="AP89" t="s">
        <v>74</v>
      </c>
      <c r="AQ89" t="s">
        <v>74</v>
      </c>
      <c r="AR89" t="s">
        <v>1490</v>
      </c>
      <c r="AS89" t="s">
        <v>1491</v>
      </c>
      <c r="AT89" t="s">
        <v>74</v>
      </c>
      <c r="AU89">
        <v>1999</v>
      </c>
      <c r="AV89">
        <v>45</v>
      </c>
      <c r="AW89">
        <v>150</v>
      </c>
      <c r="AX89" t="s">
        <v>74</v>
      </c>
      <c r="AY89" t="s">
        <v>74</v>
      </c>
      <c r="AZ89" t="s">
        <v>74</v>
      </c>
      <c r="BA89" t="s">
        <v>74</v>
      </c>
      <c r="BB89">
        <v>214</v>
      </c>
      <c r="BC89">
        <v>218</v>
      </c>
      <c r="BD89" t="s">
        <v>74</v>
      </c>
      <c r="BE89" t="s">
        <v>1512</v>
      </c>
      <c r="BF89" t="str">
        <f>HYPERLINK("http://dx.doi.org/10.3189/S0022143000001714","http://dx.doi.org/10.3189/S0022143000001714")</f>
        <v>http://dx.doi.org/10.3189/S0022143000001714</v>
      </c>
      <c r="BG89" t="s">
        <v>74</v>
      </c>
      <c r="BH89" t="s">
        <v>74</v>
      </c>
      <c r="BI89">
        <v>5</v>
      </c>
      <c r="BJ89" t="s">
        <v>1044</v>
      </c>
      <c r="BK89" t="s">
        <v>95</v>
      </c>
      <c r="BL89" t="s">
        <v>936</v>
      </c>
      <c r="BM89" t="s">
        <v>1513</v>
      </c>
      <c r="BN89" t="s">
        <v>74</v>
      </c>
      <c r="BO89" t="s">
        <v>1089</v>
      </c>
      <c r="BP89" t="s">
        <v>74</v>
      </c>
      <c r="BQ89" t="s">
        <v>74</v>
      </c>
      <c r="BR89" t="s">
        <v>98</v>
      </c>
      <c r="BS89" t="s">
        <v>1514</v>
      </c>
      <c r="BT89" t="str">
        <f>HYPERLINK("https%3A%2F%2Fwww.webofscience.com%2Fwos%2Fwoscc%2Ffull-record%2FWOS:000082205000004","View Full Record in Web of Science")</f>
        <v>View Full Record in Web of Science</v>
      </c>
    </row>
    <row r="90" spans="1:72" x14ac:dyDescent="0.15">
      <c r="A90" t="s">
        <v>72</v>
      </c>
      <c r="B90" t="s">
        <v>1515</v>
      </c>
      <c r="C90" t="s">
        <v>74</v>
      </c>
      <c r="D90" t="s">
        <v>74</v>
      </c>
      <c r="E90" t="s">
        <v>74</v>
      </c>
      <c r="F90" t="s">
        <v>1515</v>
      </c>
      <c r="G90" t="s">
        <v>74</v>
      </c>
      <c r="H90" t="s">
        <v>74</v>
      </c>
      <c r="I90" t="s">
        <v>1516</v>
      </c>
      <c r="J90" t="s">
        <v>1481</v>
      </c>
      <c r="K90" t="s">
        <v>74</v>
      </c>
      <c r="L90" t="s">
        <v>74</v>
      </c>
      <c r="M90" t="s">
        <v>77</v>
      </c>
      <c r="N90" t="s">
        <v>103</v>
      </c>
      <c r="O90" t="s">
        <v>74</v>
      </c>
      <c r="P90" t="s">
        <v>74</v>
      </c>
      <c r="Q90" t="s">
        <v>74</v>
      </c>
      <c r="R90" t="s">
        <v>74</v>
      </c>
      <c r="S90" t="s">
        <v>74</v>
      </c>
      <c r="T90" t="s">
        <v>74</v>
      </c>
      <c r="U90" t="s">
        <v>1517</v>
      </c>
      <c r="V90" t="s">
        <v>1518</v>
      </c>
      <c r="W90" t="s">
        <v>1519</v>
      </c>
      <c r="X90" t="s">
        <v>1520</v>
      </c>
      <c r="Y90" t="s">
        <v>1521</v>
      </c>
      <c r="Z90" t="s">
        <v>74</v>
      </c>
      <c r="AA90" t="s">
        <v>1522</v>
      </c>
      <c r="AB90" t="s">
        <v>74</v>
      </c>
      <c r="AC90" t="s">
        <v>74</v>
      </c>
      <c r="AD90" t="s">
        <v>74</v>
      </c>
      <c r="AE90" t="s">
        <v>74</v>
      </c>
      <c r="AF90" t="s">
        <v>74</v>
      </c>
      <c r="AG90">
        <v>41</v>
      </c>
      <c r="AH90">
        <v>28</v>
      </c>
      <c r="AI90">
        <v>30</v>
      </c>
      <c r="AJ90">
        <v>0</v>
      </c>
      <c r="AK90">
        <v>5</v>
      </c>
      <c r="AL90" t="s">
        <v>1487</v>
      </c>
      <c r="AM90" t="s">
        <v>395</v>
      </c>
      <c r="AN90" t="s">
        <v>1488</v>
      </c>
      <c r="AO90" t="s">
        <v>1489</v>
      </c>
      <c r="AP90" t="s">
        <v>74</v>
      </c>
      <c r="AQ90" t="s">
        <v>74</v>
      </c>
      <c r="AR90" t="s">
        <v>1490</v>
      </c>
      <c r="AS90" t="s">
        <v>1491</v>
      </c>
      <c r="AT90" t="s">
        <v>74</v>
      </c>
      <c r="AU90">
        <v>1999</v>
      </c>
      <c r="AV90">
        <v>45</v>
      </c>
      <c r="AW90">
        <v>150</v>
      </c>
      <c r="AX90" t="s">
        <v>74</v>
      </c>
      <c r="AY90" t="s">
        <v>74</v>
      </c>
      <c r="AZ90" t="s">
        <v>74</v>
      </c>
      <c r="BA90" t="s">
        <v>74</v>
      </c>
      <c r="BB90">
        <v>255</v>
      </c>
      <c r="BC90">
        <v>263</v>
      </c>
      <c r="BD90" t="s">
        <v>74</v>
      </c>
      <c r="BE90" t="s">
        <v>1523</v>
      </c>
      <c r="BF90" t="str">
        <f>HYPERLINK("http://dx.doi.org/10.3189/S0022143000001751","http://dx.doi.org/10.3189/S0022143000001751")</f>
        <v>http://dx.doi.org/10.3189/S0022143000001751</v>
      </c>
      <c r="BG90" t="s">
        <v>74</v>
      </c>
      <c r="BH90" t="s">
        <v>74</v>
      </c>
      <c r="BI90">
        <v>9</v>
      </c>
      <c r="BJ90" t="s">
        <v>1044</v>
      </c>
      <c r="BK90" t="s">
        <v>95</v>
      </c>
      <c r="BL90" t="s">
        <v>936</v>
      </c>
      <c r="BM90" t="s">
        <v>1513</v>
      </c>
      <c r="BN90" t="s">
        <v>74</v>
      </c>
      <c r="BO90" t="s">
        <v>1524</v>
      </c>
      <c r="BP90" t="s">
        <v>74</v>
      </c>
      <c r="BQ90" t="s">
        <v>74</v>
      </c>
      <c r="BR90" t="s">
        <v>98</v>
      </c>
      <c r="BS90" t="s">
        <v>1525</v>
      </c>
      <c r="BT90" t="str">
        <f>HYPERLINK("https%3A%2F%2Fwww.webofscience.com%2Fwos%2Fwoscc%2Ffull-record%2FWOS:000082205000008","View Full Record in Web of Science")</f>
        <v>View Full Record in Web of Science</v>
      </c>
    </row>
    <row r="91" spans="1:72" x14ac:dyDescent="0.15">
      <c r="A91" t="s">
        <v>72</v>
      </c>
      <c r="B91" t="s">
        <v>1526</v>
      </c>
      <c r="C91" t="s">
        <v>74</v>
      </c>
      <c r="D91" t="s">
        <v>74</v>
      </c>
      <c r="E91" t="s">
        <v>74</v>
      </c>
      <c r="F91" t="s">
        <v>1526</v>
      </c>
      <c r="G91" t="s">
        <v>74</v>
      </c>
      <c r="H91" t="s">
        <v>74</v>
      </c>
      <c r="I91" t="s">
        <v>1527</v>
      </c>
      <c r="J91" t="s">
        <v>1481</v>
      </c>
      <c r="K91" t="s">
        <v>74</v>
      </c>
      <c r="L91" t="s">
        <v>74</v>
      </c>
      <c r="M91" t="s">
        <v>77</v>
      </c>
      <c r="N91" t="s">
        <v>103</v>
      </c>
      <c r="O91" t="s">
        <v>74</v>
      </c>
      <c r="P91" t="s">
        <v>74</v>
      </c>
      <c r="Q91" t="s">
        <v>74</v>
      </c>
      <c r="R91" t="s">
        <v>74</v>
      </c>
      <c r="S91" t="s">
        <v>74</v>
      </c>
      <c r="T91" t="s">
        <v>74</v>
      </c>
      <c r="U91" t="s">
        <v>1528</v>
      </c>
      <c r="V91" t="s">
        <v>1529</v>
      </c>
      <c r="W91" t="s">
        <v>1530</v>
      </c>
      <c r="X91" t="s">
        <v>1531</v>
      </c>
      <c r="Y91" t="s">
        <v>1532</v>
      </c>
      <c r="Z91" t="s">
        <v>74</v>
      </c>
      <c r="AA91" t="s">
        <v>74</v>
      </c>
      <c r="AB91" t="s">
        <v>74</v>
      </c>
      <c r="AC91" t="s">
        <v>74</v>
      </c>
      <c r="AD91" t="s">
        <v>74</v>
      </c>
      <c r="AE91" t="s">
        <v>74</v>
      </c>
      <c r="AF91" t="s">
        <v>74</v>
      </c>
      <c r="AG91">
        <v>30</v>
      </c>
      <c r="AH91">
        <v>110</v>
      </c>
      <c r="AI91">
        <v>122</v>
      </c>
      <c r="AJ91">
        <v>2</v>
      </c>
      <c r="AK91">
        <v>21</v>
      </c>
      <c r="AL91" t="s">
        <v>1487</v>
      </c>
      <c r="AM91" t="s">
        <v>395</v>
      </c>
      <c r="AN91" t="s">
        <v>1488</v>
      </c>
      <c r="AO91" t="s">
        <v>1489</v>
      </c>
      <c r="AP91" t="s">
        <v>74</v>
      </c>
      <c r="AQ91" t="s">
        <v>74</v>
      </c>
      <c r="AR91" t="s">
        <v>1490</v>
      </c>
      <c r="AS91" t="s">
        <v>1491</v>
      </c>
      <c r="AT91" t="s">
        <v>74</v>
      </c>
      <c r="AU91">
        <v>1999</v>
      </c>
      <c r="AV91">
        <v>45</v>
      </c>
      <c r="AW91">
        <v>150</v>
      </c>
      <c r="AX91" t="s">
        <v>74</v>
      </c>
      <c r="AY91" t="s">
        <v>74</v>
      </c>
      <c r="AZ91" t="s">
        <v>74</v>
      </c>
      <c r="BA91" t="s">
        <v>74</v>
      </c>
      <c r="BB91">
        <v>273</v>
      </c>
      <c r="BC91">
        <v>285</v>
      </c>
      <c r="BD91" t="s">
        <v>74</v>
      </c>
      <c r="BE91" t="s">
        <v>1533</v>
      </c>
      <c r="BF91" t="str">
        <f>HYPERLINK("http://dx.doi.org/10.3189/S0022143000001775","http://dx.doi.org/10.3189/S0022143000001775")</f>
        <v>http://dx.doi.org/10.3189/S0022143000001775</v>
      </c>
      <c r="BG91" t="s">
        <v>74</v>
      </c>
      <c r="BH91" t="s">
        <v>74</v>
      </c>
      <c r="BI91">
        <v>13</v>
      </c>
      <c r="BJ91" t="s">
        <v>1044</v>
      </c>
      <c r="BK91" t="s">
        <v>95</v>
      </c>
      <c r="BL91" t="s">
        <v>936</v>
      </c>
      <c r="BM91" t="s">
        <v>1513</v>
      </c>
      <c r="BN91" t="s">
        <v>74</v>
      </c>
      <c r="BO91" t="s">
        <v>1089</v>
      </c>
      <c r="BP91" t="s">
        <v>74</v>
      </c>
      <c r="BQ91" t="s">
        <v>74</v>
      </c>
      <c r="BR91" t="s">
        <v>98</v>
      </c>
      <c r="BS91" t="s">
        <v>1534</v>
      </c>
      <c r="BT91" t="str">
        <f>HYPERLINK("https%3A%2F%2Fwww.webofscience.com%2Fwos%2Fwoscc%2Ffull-record%2FWOS:000082205000010","View Full Record in Web of Science")</f>
        <v>View Full Record in Web of Science</v>
      </c>
    </row>
    <row r="92" spans="1:72" x14ac:dyDescent="0.15">
      <c r="A92" t="s">
        <v>72</v>
      </c>
      <c r="B92" t="s">
        <v>1535</v>
      </c>
      <c r="C92" t="s">
        <v>74</v>
      </c>
      <c r="D92" t="s">
        <v>74</v>
      </c>
      <c r="E92" t="s">
        <v>74</v>
      </c>
      <c r="F92" t="s">
        <v>1535</v>
      </c>
      <c r="G92" t="s">
        <v>74</v>
      </c>
      <c r="H92" t="s">
        <v>74</v>
      </c>
      <c r="I92" t="s">
        <v>1536</v>
      </c>
      <c r="J92" t="s">
        <v>1481</v>
      </c>
      <c r="K92" t="s">
        <v>74</v>
      </c>
      <c r="L92" t="s">
        <v>74</v>
      </c>
      <c r="M92" t="s">
        <v>77</v>
      </c>
      <c r="N92" t="s">
        <v>103</v>
      </c>
      <c r="O92" t="s">
        <v>74</v>
      </c>
      <c r="P92" t="s">
        <v>74</v>
      </c>
      <c r="Q92" t="s">
        <v>74</v>
      </c>
      <c r="R92" t="s">
        <v>74</v>
      </c>
      <c r="S92" t="s">
        <v>74</v>
      </c>
      <c r="T92" t="s">
        <v>74</v>
      </c>
      <c r="U92" t="s">
        <v>1537</v>
      </c>
      <c r="V92" t="s">
        <v>1538</v>
      </c>
      <c r="W92" t="s">
        <v>1539</v>
      </c>
      <c r="X92" t="s">
        <v>981</v>
      </c>
      <c r="Y92" t="s">
        <v>1540</v>
      </c>
      <c r="Z92" t="s">
        <v>74</v>
      </c>
      <c r="AA92" t="s">
        <v>983</v>
      </c>
      <c r="AB92" t="s">
        <v>984</v>
      </c>
      <c r="AC92" t="s">
        <v>74</v>
      </c>
      <c r="AD92" t="s">
        <v>74</v>
      </c>
      <c r="AE92" t="s">
        <v>74</v>
      </c>
      <c r="AF92" t="s">
        <v>74</v>
      </c>
      <c r="AG92">
        <v>29</v>
      </c>
      <c r="AH92">
        <v>11</v>
      </c>
      <c r="AI92">
        <v>14</v>
      </c>
      <c r="AJ92">
        <v>0</v>
      </c>
      <c r="AK92">
        <v>0</v>
      </c>
      <c r="AL92" t="s">
        <v>1487</v>
      </c>
      <c r="AM92" t="s">
        <v>395</v>
      </c>
      <c r="AN92" t="s">
        <v>1488</v>
      </c>
      <c r="AO92" t="s">
        <v>1489</v>
      </c>
      <c r="AP92" t="s">
        <v>74</v>
      </c>
      <c r="AQ92" t="s">
        <v>74</v>
      </c>
      <c r="AR92" t="s">
        <v>1490</v>
      </c>
      <c r="AS92" t="s">
        <v>1491</v>
      </c>
      <c r="AT92" t="s">
        <v>74</v>
      </c>
      <c r="AU92">
        <v>1999</v>
      </c>
      <c r="AV92">
        <v>45</v>
      </c>
      <c r="AW92">
        <v>150</v>
      </c>
      <c r="AX92" t="s">
        <v>74</v>
      </c>
      <c r="AY92" t="s">
        <v>74</v>
      </c>
      <c r="AZ92" t="s">
        <v>74</v>
      </c>
      <c r="BA92" t="s">
        <v>74</v>
      </c>
      <c r="BB92">
        <v>384</v>
      </c>
      <c r="BC92">
        <v>393</v>
      </c>
      <c r="BD92" t="s">
        <v>74</v>
      </c>
      <c r="BE92" t="s">
        <v>1541</v>
      </c>
      <c r="BF92" t="str">
        <f>HYPERLINK("http://dx.doi.org/10.3189/S002214300000188X","http://dx.doi.org/10.3189/S002214300000188X")</f>
        <v>http://dx.doi.org/10.3189/S002214300000188X</v>
      </c>
      <c r="BG92" t="s">
        <v>74</v>
      </c>
      <c r="BH92" t="s">
        <v>74</v>
      </c>
      <c r="BI92">
        <v>10</v>
      </c>
      <c r="BJ92" t="s">
        <v>1044</v>
      </c>
      <c r="BK92" t="s">
        <v>95</v>
      </c>
      <c r="BL92" t="s">
        <v>936</v>
      </c>
      <c r="BM92" t="s">
        <v>1513</v>
      </c>
      <c r="BN92" t="s">
        <v>74</v>
      </c>
      <c r="BO92" t="s">
        <v>986</v>
      </c>
      <c r="BP92" t="s">
        <v>74</v>
      </c>
      <c r="BQ92" t="s">
        <v>74</v>
      </c>
      <c r="BR92" t="s">
        <v>98</v>
      </c>
      <c r="BS92" t="s">
        <v>1542</v>
      </c>
      <c r="BT92" t="str">
        <f>HYPERLINK("https%3A%2F%2Fwww.webofscience.com%2Fwos%2Fwoscc%2Ffull-record%2FWOS:000082205000021","View Full Record in Web of Science")</f>
        <v>View Full Record in Web of Science</v>
      </c>
    </row>
    <row r="93" spans="1:72" x14ac:dyDescent="0.15">
      <c r="A93" t="s">
        <v>72</v>
      </c>
      <c r="B93" t="s">
        <v>1543</v>
      </c>
      <c r="C93" t="s">
        <v>74</v>
      </c>
      <c r="D93" t="s">
        <v>74</v>
      </c>
      <c r="E93" t="s">
        <v>74</v>
      </c>
      <c r="F93" t="s">
        <v>1543</v>
      </c>
      <c r="G93" t="s">
        <v>74</v>
      </c>
      <c r="H93" t="s">
        <v>74</v>
      </c>
      <c r="I93" t="s">
        <v>1544</v>
      </c>
      <c r="J93" t="s">
        <v>1481</v>
      </c>
      <c r="K93" t="s">
        <v>74</v>
      </c>
      <c r="L93" t="s">
        <v>74</v>
      </c>
      <c r="M93" t="s">
        <v>77</v>
      </c>
      <c r="N93" t="s">
        <v>1545</v>
      </c>
      <c r="O93" t="s">
        <v>74</v>
      </c>
      <c r="P93" t="s">
        <v>74</v>
      </c>
      <c r="Q93" t="s">
        <v>74</v>
      </c>
      <c r="R93" t="s">
        <v>74</v>
      </c>
      <c r="S93" t="s">
        <v>74</v>
      </c>
      <c r="T93" t="s">
        <v>74</v>
      </c>
      <c r="U93" t="s">
        <v>74</v>
      </c>
      <c r="V93" t="s">
        <v>74</v>
      </c>
      <c r="W93" t="s">
        <v>1546</v>
      </c>
      <c r="X93" t="s">
        <v>1547</v>
      </c>
      <c r="Y93" t="s">
        <v>1548</v>
      </c>
      <c r="Z93" t="s">
        <v>74</v>
      </c>
      <c r="AA93" t="s">
        <v>74</v>
      </c>
      <c r="AB93" t="s">
        <v>1549</v>
      </c>
      <c r="AC93" t="s">
        <v>74</v>
      </c>
      <c r="AD93" t="s">
        <v>74</v>
      </c>
      <c r="AE93" t="s">
        <v>74</v>
      </c>
      <c r="AF93" t="s">
        <v>74</v>
      </c>
      <c r="AG93">
        <v>10</v>
      </c>
      <c r="AH93">
        <v>4</v>
      </c>
      <c r="AI93">
        <v>5</v>
      </c>
      <c r="AJ93">
        <v>0</v>
      </c>
      <c r="AK93">
        <v>2</v>
      </c>
      <c r="AL93" t="s">
        <v>1487</v>
      </c>
      <c r="AM93" t="s">
        <v>395</v>
      </c>
      <c r="AN93" t="s">
        <v>1488</v>
      </c>
      <c r="AO93" t="s">
        <v>1489</v>
      </c>
      <c r="AP93" t="s">
        <v>74</v>
      </c>
      <c r="AQ93" t="s">
        <v>74</v>
      </c>
      <c r="AR93" t="s">
        <v>1490</v>
      </c>
      <c r="AS93" t="s">
        <v>1491</v>
      </c>
      <c r="AT93" t="s">
        <v>74</v>
      </c>
      <c r="AU93">
        <v>1999</v>
      </c>
      <c r="AV93">
        <v>45</v>
      </c>
      <c r="AW93">
        <v>150</v>
      </c>
      <c r="AX93" t="s">
        <v>74</v>
      </c>
      <c r="AY93" t="s">
        <v>74</v>
      </c>
      <c r="AZ93" t="s">
        <v>74</v>
      </c>
      <c r="BA93" t="s">
        <v>74</v>
      </c>
      <c r="BB93">
        <v>394</v>
      </c>
      <c r="BC93">
        <v>396</v>
      </c>
      <c r="BD93" t="s">
        <v>74</v>
      </c>
      <c r="BE93" t="s">
        <v>1550</v>
      </c>
      <c r="BF93" t="str">
        <f>HYPERLINK("http://dx.doi.org/10.3189/S0022143000001891","http://dx.doi.org/10.3189/S0022143000001891")</f>
        <v>http://dx.doi.org/10.3189/S0022143000001891</v>
      </c>
      <c r="BG93" t="s">
        <v>74</v>
      </c>
      <c r="BH93" t="s">
        <v>74</v>
      </c>
      <c r="BI93">
        <v>3</v>
      </c>
      <c r="BJ93" t="s">
        <v>1044</v>
      </c>
      <c r="BK93" t="s">
        <v>95</v>
      </c>
      <c r="BL93" t="s">
        <v>936</v>
      </c>
      <c r="BM93" t="s">
        <v>1513</v>
      </c>
      <c r="BN93" t="s">
        <v>74</v>
      </c>
      <c r="BO93" t="s">
        <v>1089</v>
      </c>
      <c r="BP93" t="s">
        <v>74</v>
      </c>
      <c r="BQ93" t="s">
        <v>74</v>
      </c>
      <c r="BR93" t="s">
        <v>98</v>
      </c>
      <c r="BS93" t="s">
        <v>1551</v>
      </c>
      <c r="BT93" t="str">
        <f>HYPERLINK("https%3A%2F%2Fwww.webofscience.com%2Fwos%2Fwoscc%2Ffull-record%2FWOS:000082205000022","View Full Record in Web of Science")</f>
        <v>View Full Record in Web of Science</v>
      </c>
    </row>
    <row r="94" spans="1:72" x14ac:dyDescent="0.15">
      <c r="A94" t="s">
        <v>72</v>
      </c>
      <c r="B94" t="s">
        <v>1552</v>
      </c>
      <c r="C94" t="s">
        <v>74</v>
      </c>
      <c r="D94" t="s">
        <v>74</v>
      </c>
      <c r="E94" t="s">
        <v>74</v>
      </c>
      <c r="F94" t="s">
        <v>1552</v>
      </c>
      <c r="G94" t="s">
        <v>74</v>
      </c>
      <c r="H94" t="s">
        <v>74</v>
      </c>
      <c r="I94" t="s">
        <v>1553</v>
      </c>
      <c r="J94" t="s">
        <v>1481</v>
      </c>
      <c r="K94" t="s">
        <v>74</v>
      </c>
      <c r="L94" t="s">
        <v>74</v>
      </c>
      <c r="M94" t="s">
        <v>77</v>
      </c>
      <c r="N94" t="s">
        <v>103</v>
      </c>
      <c r="O94" t="s">
        <v>74</v>
      </c>
      <c r="P94" t="s">
        <v>74</v>
      </c>
      <c r="Q94" t="s">
        <v>74</v>
      </c>
      <c r="R94" t="s">
        <v>74</v>
      </c>
      <c r="S94" t="s">
        <v>74</v>
      </c>
      <c r="T94" t="s">
        <v>74</v>
      </c>
      <c r="U94" t="s">
        <v>1554</v>
      </c>
      <c r="V94" t="s">
        <v>1555</v>
      </c>
      <c r="W94" t="s">
        <v>1556</v>
      </c>
      <c r="X94" t="s">
        <v>1557</v>
      </c>
      <c r="Y94" t="s">
        <v>1558</v>
      </c>
      <c r="Z94" t="s">
        <v>74</v>
      </c>
      <c r="AA94" t="s">
        <v>74</v>
      </c>
      <c r="AB94" t="s">
        <v>74</v>
      </c>
      <c r="AC94" t="s">
        <v>74</v>
      </c>
      <c r="AD94" t="s">
        <v>74</v>
      </c>
      <c r="AE94" t="s">
        <v>74</v>
      </c>
      <c r="AF94" t="s">
        <v>74</v>
      </c>
      <c r="AG94">
        <v>24</v>
      </c>
      <c r="AH94">
        <v>45</v>
      </c>
      <c r="AI94">
        <v>48</v>
      </c>
      <c r="AJ94">
        <v>1</v>
      </c>
      <c r="AK94">
        <v>2</v>
      </c>
      <c r="AL94" t="s">
        <v>948</v>
      </c>
      <c r="AM94" t="s">
        <v>395</v>
      </c>
      <c r="AN94" t="s">
        <v>1502</v>
      </c>
      <c r="AO94" t="s">
        <v>1489</v>
      </c>
      <c r="AP94" t="s">
        <v>1503</v>
      </c>
      <c r="AQ94" t="s">
        <v>74</v>
      </c>
      <c r="AR94" t="s">
        <v>1490</v>
      </c>
      <c r="AS94" t="s">
        <v>1491</v>
      </c>
      <c r="AT94" t="s">
        <v>74</v>
      </c>
      <c r="AU94">
        <v>1999</v>
      </c>
      <c r="AV94">
        <v>45</v>
      </c>
      <c r="AW94">
        <v>151</v>
      </c>
      <c r="AX94" t="s">
        <v>74</v>
      </c>
      <c r="AY94" t="s">
        <v>74</v>
      </c>
      <c r="AZ94" t="s">
        <v>74</v>
      </c>
      <c r="BA94" t="s">
        <v>74</v>
      </c>
      <c r="BB94">
        <v>463</v>
      </c>
      <c r="BC94">
        <v>468</v>
      </c>
      <c r="BD94" t="s">
        <v>74</v>
      </c>
      <c r="BE94" t="s">
        <v>1559</v>
      </c>
      <c r="BF94" t="str">
        <f>HYPERLINK("http://dx.doi.org/10.3189/S0022143000001325","http://dx.doi.org/10.3189/S0022143000001325")</f>
        <v>http://dx.doi.org/10.3189/S0022143000001325</v>
      </c>
      <c r="BG94" t="s">
        <v>74</v>
      </c>
      <c r="BH94" t="s">
        <v>74</v>
      </c>
      <c r="BI94">
        <v>6</v>
      </c>
      <c r="BJ94" t="s">
        <v>1044</v>
      </c>
      <c r="BK94" t="s">
        <v>95</v>
      </c>
      <c r="BL94" t="s">
        <v>936</v>
      </c>
      <c r="BM94" t="s">
        <v>1560</v>
      </c>
      <c r="BN94" t="s">
        <v>74</v>
      </c>
      <c r="BO94" t="s">
        <v>1089</v>
      </c>
      <c r="BP94" t="s">
        <v>74</v>
      </c>
      <c r="BQ94" t="s">
        <v>74</v>
      </c>
      <c r="BR94" t="s">
        <v>98</v>
      </c>
      <c r="BS94" t="s">
        <v>1561</v>
      </c>
      <c r="BT94" t="str">
        <f>HYPERLINK("https%3A%2F%2Fwww.webofscience.com%2Fwos%2Fwoscc%2Ffull-record%2FWOS:000085327200006","View Full Record in Web of Science")</f>
        <v>View Full Record in Web of Science</v>
      </c>
    </row>
    <row r="95" spans="1:72" x14ac:dyDescent="0.15">
      <c r="A95" t="s">
        <v>72</v>
      </c>
      <c r="B95" t="s">
        <v>1562</v>
      </c>
      <c r="C95" t="s">
        <v>74</v>
      </c>
      <c r="D95" t="s">
        <v>74</v>
      </c>
      <c r="E95" t="s">
        <v>74</v>
      </c>
      <c r="F95" t="s">
        <v>1562</v>
      </c>
      <c r="G95" t="s">
        <v>74</v>
      </c>
      <c r="H95" t="s">
        <v>74</v>
      </c>
      <c r="I95" t="s">
        <v>1563</v>
      </c>
      <c r="J95" t="s">
        <v>1481</v>
      </c>
      <c r="K95" t="s">
        <v>74</v>
      </c>
      <c r="L95" t="s">
        <v>74</v>
      </c>
      <c r="M95" t="s">
        <v>77</v>
      </c>
      <c r="N95" t="s">
        <v>103</v>
      </c>
      <c r="O95" t="s">
        <v>74</v>
      </c>
      <c r="P95" t="s">
        <v>74</v>
      </c>
      <c r="Q95" t="s">
        <v>74</v>
      </c>
      <c r="R95" t="s">
        <v>74</v>
      </c>
      <c r="S95" t="s">
        <v>74</v>
      </c>
      <c r="T95" t="s">
        <v>74</v>
      </c>
      <c r="U95" t="s">
        <v>1564</v>
      </c>
      <c r="V95" t="s">
        <v>1565</v>
      </c>
      <c r="W95" t="s">
        <v>1566</v>
      </c>
      <c r="X95" t="s">
        <v>1567</v>
      </c>
      <c r="Y95" t="s">
        <v>1568</v>
      </c>
      <c r="Z95" t="s">
        <v>74</v>
      </c>
      <c r="AA95" t="s">
        <v>1569</v>
      </c>
      <c r="AB95" t="s">
        <v>1570</v>
      </c>
      <c r="AC95" t="s">
        <v>74</v>
      </c>
      <c r="AD95" t="s">
        <v>74</v>
      </c>
      <c r="AE95" t="s">
        <v>74</v>
      </c>
      <c r="AF95" t="s">
        <v>74</v>
      </c>
      <c r="AG95">
        <v>52</v>
      </c>
      <c r="AH95">
        <v>45</v>
      </c>
      <c r="AI95">
        <v>47</v>
      </c>
      <c r="AJ95">
        <v>0</v>
      </c>
      <c r="AK95">
        <v>4</v>
      </c>
      <c r="AL95" t="s">
        <v>1487</v>
      </c>
      <c r="AM95" t="s">
        <v>395</v>
      </c>
      <c r="AN95" t="s">
        <v>1488</v>
      </c>
      <c r="AO95" t="s">
        <v>1489</v>
      </c>
      <c r="AP95" t="s">
        <v>74</v>
      </c>
      <c r="AQ95" t="s">
        <v>74</v>
      </c>
      <c r="AR95" t="s">
        <v>1490</v>
      </c>
      <c r="AS95" t="s">
        <v>1491</v>
      </c>
      <c r="AT95" t="s">
        <v>74</v>
      </c>
      <c r="AU95">
        <v>1999</v>
      </c>
      <c r="AV95">
        <v>45</v>
      </c>
      <c r="AW95">
        <v>151</v>
      </c>
      <c r="AX95" t="s">
        <v>74</v>
      </c>
      <c r="AY95" t="s">
        <v>74</v>
      </c>
      <c r="AZ95" t="s">
        <v>74</v>
      </c>
      <c r="BA95" t="s">
        <v>74</v>
      </c>
      <c r="BB95">
        <v>495</v>
      </c>
      <c r="BC95">
        <v>505</v>
      </c>
      <c r="BD95" t="s">
        <v>74</v>
      </c>
      <c r="BE95" t="s">
        <v>1571</v>
      </c>
      <c r="BF95" t="str">
        <f>HYPERLINK("http://dx.doi.org/10.3189/S0022143000001350","http://dx.doi.org/10.3189/S0022143000001350")</f>
        <v>http://dx.doi.org/10.3189/S0022143000001350</v>
      </c>
      <c r="BG95" t="s">
        <v>74</v>
      </c>
      <c r="BH95" t="s">
        <v>74</v>
      </c>
      <c r="BI95">
        <v>11</v>
      </c>
      <c r="BJ95" t="s">
        <v>1044</v>
      </c>
      <c r="BK95" t="s">
        <v>95</v>
      </c>
      <c r="BL95" t="s">
        <v>936</v>
      </c>
      <c r="BM95" t="s">
        <v>1560</v>
      </c>
      <c r="BN95" t="s">
        <v>74</v>
      </c>
      <c r="BO95" t="s">
        <v>1089</v>
      </c>
      <c r="BP95" t="s">
        <v>74</v>
      </c>
      <c r="BQ95" t="s">
        <v>74</v>
      </c>
      <c r="BR95" t="s">
        <v>98</v>
      </c>
      <c r="BS95" t="s">
        <v>1572</v>
      </c>
      <c r="BT95" t="str">
        <f>HYPERLINK("https%3A%2F%2Fwww.webofscience.com%2Fwos%2Fwoscc%2Ffull-record%2FWOS:000085327200009","View Full Record in Web of Science")</f>
        <v>View Full Record in Web of Science</v>
      </c>
    </row>
    <row r="96" spans="1:72" x14ac:dyDescent="0.15">
      <c r="A96" t="s">
        <v>72</v>
      </c>
      <c r="B96" t="s">
        <v>1573</v>
      </c>
      <c r="C96" t="s">
        <v>74</v>
      </c>
      <c r="D96" t="s">
        <v>74</v>
      </c>
      <c r="E96" t="s">
        <v>74</v>
      </c>
      <c r="F96" t="s">
        <v>1573</v>
      </c>
      <c r="G96" t="s">
        <v>74</v>
      </c>
      <c r="H96" t="s">
        <v>74</v>
      </c>
      <c r="I96" t="s">
        <v>1574</v>
      </c>
      <c r="J96" t="s">
        <v>1481</v>
      </c>
      <c r="K96" t="s">
        <v>74</v>
      </c>
      <c r="L96" t="s">
        <v>74</v>
      </c>
      <c r="M96" t="s">
        <v>77</v>
      </c>
      <c r="N96" t="s">
        <v>103</v>
      </c>
      <c r="O96" t="s">
        <v>74</v>
      </c>
      <c r="P96" t="s">
        <v>74</v>
      </c>
      <c r="Q96" t="s">
        <v>74</v>
      </c>
      <c r="R96" t="s">
        <v>74</v>
      </c>
      <c r="S96" t="s">
        <v>74</v>
      </c>
      <c r="T96" t="s">
        <v>74</v>
      </c>
      <c r="U96" t="s">
        <v>74</v>
      </c>
      <c r="V96" t="s">
        <v>1575</v>
      </c>
      <c r="W96" t="s">
        <v>944</v>
      </c>
      <c r="X96" t="s">
        <v>628</v>
      </c>
      <c r="Y96" t="s">
        <v>1576</v>
      </c>
      <c r="Z96" t="s">
        <v>74</v>
      </c>
      <c r="AA96" t="s">
        <v>1577</v>
      </c>
      <c r="AB96" t="s">
        <v>1578</v>
      </c>
      <c r="AC96" t="s">
        <v>74</v>
      </c>
      <c r="AD96" t="s">
        <v>74</v>
      </c>
      <c r="AE96" t="s">
        <v>74</v>
      </c>
      <c r="AF96" t="s">
        <v>74</v>
      </c>
      <c r="AG96">
        <v>13</v>
      </c>
      <c r="AH96">
        <v>39</v>
      </c>
      <c r="AI96">
        <v>43</v>
      </c>
      <c r="AJ96">
        <v>0</v>
      </c>
      <c r="AK96">
        <v>5</v>
      </c>
      <c r="AL96" t="s">
        <v>1487</v>
      </c>
      <c r="AM96" t="s">
        <v>395</v>
      </c>
      <c r="AN96" t="s">
        <v>1488</v>
      </c>
      <c r="AO96" t="s">
        <v>1489</v>
      </c>
      <c r="AP96" t="s">
        <v>74</v>
      </c>
      <c r="AQ96" t="s">
        <v>74</v>
      </c>
      <c r="AR96" t="s">
        <v>1490</v>
      </c>
      <c r="AS96" t="s">
        <v>1491</v>
      </c>
      <c r="AT96" t="s">
        <v>74</v>
      </c>
      <c r="AU96">
        <v>1999</v>
      </c>
      <c r="AV96">
        <v>45</v>
      </c>
      <c r="AW96">
        <v>151</v>
      </c>
      <c r="AX96" t="s">
        <v>74</v>
      </c>
      <c r="AY96" t="s">
        <v>74</v>
      </c>
      <c r="AZ96" t="s">
        <v>74</v>
      </c>
      <c r="BA96" t="s">
        <v>74</v>
      </c>
      <c r="BB96">
        <v>568</v>
      </c>
      <c r="BC96">
        <v>574</v>
      </c>
      <c r="BD96" t="s">
        <v>74</v>
      </c>
      <c r="BE96" t="s">
        <v>1579</v>
      </c>
      <c r="BF96" t="str">
        <f>HYPERLINK("http://dx.doi.org/10.3189/S0022143000001441","http://dx.doi.org/10.3189/S0022143000001441")</f>
        <v>http://dx.doi.org/10.3189/S0022143000001441</v>
      </c>
      <c r="BG96" t="s">
        <v>74</v>
      </c>
      <c r="BH96" t="s">
        <v>74</v>
      </c>
      <c r="BI96">
        <v>7</v>
      </c>
      <c r="BJ96" t="s">
        <v>1044</v>
      </c>
      <c r="BK96" t="s">
        <v>95</v>
      </c>
      <c r="BL96" t="s">
        <v>936</v>
      </c>
      <c r="BM96" t="s">
        <v>1560</v>
      </c>
      <c r="BN96" t="s">
        <v>74</v>
      </c>
      <c r="BO96" t="s">
        <v>1089</v>
      </c>
      <c r="BP96" t="s">
        <v>74</v>
      </c>
      <c r="BQ96" t="s">
        <v>74</v>
      </c>
      <c r="BR96" t="s">
        <v>98</v>
      </c>
      <c r="BS96" t="s">
        <v>1580</v>
      </c>
      <c r="BT96" t="str">
        <f>HYPERLINK("https%3A%2F%2Fwww.webofscience.com%2Fwos%2Fwoscc%2Ffull-record%2FWOS:000085327200018","View Full Record in Web of Science")</f>
        <v>View Full Record in Web of Science</v>
      </c>
    </row>
    <row r="97" spans="1:72" x14ac:dyDescent="0.15">
      <c r="A97" t="s">
        <v>72</v>
      </c>
      <c r="B97" t="s">
        <v>1581</v>
      </c>
      <c r="C97" t="s">
        <v>74</v>
      </c>
      <c r="D97" t="s">
        <v>74</v>
      </c>
      <c r="E97" t="s">
        <v>74</v>
      </c>
      <c r="F97" t="s">
        <v>1581</v>
      </c>
      <c r="G97" t="s">
        <v>74</v>
      </c>
      <c r="H97" t="s">
        <v>74</v>
      </c>
      <c r="I97" t="s">
        <v>1582</v>
      </c>
      <c r="J97" t="s">
        <v>1583</v>
      </c>
      <c r="K97" t="s">
        <v>74</v>
      </c>
      <c r="L97" t="s">
        <v>74</v>
      </c>
      <c r="M97" t="s">
        <v>77</v>
      </c>
      <c r="N97" t="s">
        <v>103</v>
      </c>
      <c r="O97" t="s">
        <v>74</v>
      </c>
      <c r="P97" t="s">
        <v>74</v>
      </c>
      <c r="Q97" t="s">
        <v>74</v>
      </c>
      <c r="R97" t="s">
        <v>74</v>
      </c>
      <c r="S97" t="s">
        <v>74</v>
      </c>
      <c r="T97" t="s">
        <v>74</v>
      </c>
      <c r="U97" t="s">
        <v>1584</v>
      </c>
      <c r="V97" t="s">
        <v>1585</v>
      </c>
      <c r="W97" t="s">
        <v>1586</v>
      </c>
      <c r="X97" t="s">
        <v>1587</v>
      </c>
      <c r="Y97" t="s">
        <v>1588</v>
      </c>
      <c r="Z97" t="s">
        <v>74</v>
      </c>
      <c r="AA97" t="s">
        <v>74</v>
      </c>
      <c r="AB97" t="s">
        <v>74</v>
      </c>
      <c r="AC97" t="s">
        <v>74</v>
      </c>
      <c r="AD97" t="s">
        <v>74</v>
      </c>
      <c r="AE97" t="s">
        <v>74</v>
      </c>
      <c r="AF97" t="s">
        <v>74</v>
      </c>
      <c r="AG97">
        <v>15</v>
      </c>
      <c r="AH97">
        <v>11</v>
      </c>
      <c r="AI97">
        <v>11</v>
      </c>
      <c r="AJ97">
        <v>0</v>
      </c>
      <c r="AK97">
        <v>1</v>
      </c>
      <c r="AL97" t="s">
        <v>1589</v>
      </c>
      <c r="AM97" t="s">
        <v>1590</v>
      </c>
      <c r="AN97" t="s">
        <v>1591</v>
      </c>
      <c r="AO97" t="s">
        <v>1592</v>
      </c>
      <c r="AP97" t="s">
        <v>74</v>
      </c>
      <c r="AQ97" t="s">
        <v>74</v>
      </c>
      <c r="AR97" t="s">
        <v>1593</v>
      </c>
      <c r="AS97" t="s">
        <v>1594</v>
      </c>
      <c r="AT97" t="s">
        <v>143</v>
      </c>
      <c r="AU97">
        <v>1999</v>
      </c>
      <c r="AV97">
        <v>57</v>
      </c>
      <c r="AW97">
        <v>1</v>
      </c>
      <c r="AX97" t="s">
        <v>74</v>
      </c>
      <c r="AY97" t="s">
        <v>74</v>
      </c>
      <c r="AZ97" t="s">
        <v>74</v>
      </c>
      <c r="BA97" t="s">
        <v>74</v>
      </c>
      <c r="BB97">
        <v>29</v>
      </c>
      <c r="BC97">
        <v>45</v>
      </c>
      <c r="BD97" t="s">
        <v>74</v>
      </c>
      <c r="BE97" t="s">
        <v>1595</v>
      </c>
      <c r="BF97" t="str">
        <f>HYPERLINK("http://dx.doi.org/10.1357/002224099765038553","http://dx.doi.org/10.1357/002224099765038553")</f>
        <v>http://dx.doi.org/10.1357/002224099765038553</v>
      </c>
      <c r="BG97" t="s">
        <v>74</v>
      </c>
      <c r="BH97" t="s">
        <v>74</v>
      </c>
      <c r="BI97">
        <v>17</v>
      </c>
      <c r="BJ97" t="s">
        <v>451</v>
      </c>
      <c r="BK97" t="s">
        <v>95</v>
      </c>
      <c r="BL97" t="s">
        <v>451</v>
      </c>
      <c r="BM97" t="s">
        <v>1596</v>
      </c>
      <c r="BN97" t="s">
        <v>74</v>
      </c>
      <c r="BO97" t="s">
        <v>74</v>
      </c>
      <c r="BP97" t="s">
        <v>74</v>
      </c>
      <c r="BQ97" t="s">
        <v>74</v>
      </c>
      <c r="BR97" t="s">
        <v>98</v>
      </c>
      <c r="BS97" t="s">
        <v>1597</v>
      </c>
      <c r="BT97" t="str">
        <f>HYPERLINK("https%3A%2F%2Fwww.webofscience.com%2Fwos%2Fwoscc%2Ffull-record%2FWOS:000078959300002","View Full Record in Web of Science")</f>
        <v>View Full Record in Web of Science</v>
      </c>
    </row>
    <row r="98" spans="1:72" x14ac:dyDescent="0.15">
      <c r="A98" t="s">
        <v>72</v>
      </c>
      <c r="B98" t="s">
        <v>1598</v>
      </c>
      <c r="C98" t="s">
        <v>74</v>
      </c>
      <c r="D98" t="s">
        <v>74</v>
      </c>
      <c r="E98" t="s">
        <v>74</v>
      </c>
      <c r="F98" t="s">
        <v>1598</v>
      </c>
      <c r="G98" t="s">
        <v>74</v>
      </c>
      <c r="H98" t="s">
        <v>74</v>
      </c>
      <c r="I98" t="s">
        <v>1599</v>
      </c>
      <c r="J98" t="s">
        <v>1583</v>
      </c>
      <c r="K98" t="s">
        <v>74</v>
      </c>
      <c r="L98" t="s">
        <v>74</v>
      </c>
      <c r="M98" t="s">
        <v>77</v>
      </c>
      <c r="N98" t="s">
        <v>103</v>
      </c>
      <c r="O98" t="s">
        <v>74</v>
      </c>
      <c r="P98" t="s">
        <v>74</v>
      </c>
      <c r="Q98" t="s">
        <v>74</v>
      </c>
      <c r="R98" t="s">
        <v>74</v>
      </c>
      <c r="S98" t="s">
        <v>74</v>
      </c>
      <c r="T98" t="s">
        <v>74</v>
      </c>
      <c r="U98" t="s">
        <v>1600</v>
      </c>
      <c r="V98" t="s">
        <v>1601</v>
      </c>
      <c r="W98" t="s">
        <v>1602</v>
      </c>
      <c r="X98" t="s">
        <v>1603</v>
      </c>
      <c r="Y98" t="s">
        <v>1604</v>
      </c>
      <c r="Z98" t="s">
        <v>1605</v>
      </c>
      <c r="AA98" t="s">
        <v>74</v>
      </c>
      <c r="AB98" t="s">
        <v>74</v>
      </c>
      <c r="AC98" t="s">
        <v>74</v>
      </c>
      <c r="AD98" t="s">
        <v>74</v>
      </c>
      <c r="AE98" t="s">
        <v>74</v>
      </c>
      <c r="AF98" t="s">
        <v>74</v>
      </c>
      <c r="AG98">
        <v>52</v>
      </c>
      <c r="AH98">
        <v>16</v>
      </c>
      <c r="AI98">
        <v>18</v>
      </c>
      <c r="AJ98">
        <v>0</v>
      </c>
      <c r="AK98">
        <v>2</v>
      </c>
      <c r="AL98" t="s">
        <v>1606</v>
      </c>
      <c r="AM98" t="s">
        <v>1590</v>
      </c>
      <c r="AN98" t="s">
        <v>1607</v>
      </c>
      <c r="AO98" t="s">
        <v>1592</v>
      </c>
      <c r="AP98" t="s">
        <v>1608</v>
      </c>
      <c r="AQ98" t="s">
        <v>74</v>
      </c>
      <c r="AR98" t="s">
        <v>1593</v>
      </c>
      <c r="AS98" t="s">
        <v>1594</v>
      </c>
      <c r="AT98" t="s">
        <v>143</v>
      </c>
      <c r="AU98">
        <v>1999</v>
      </c>
      <c r="AV98">
        <v>57</v>
      </c>
      <c r="AW98">
        <v>1</v>
      </c>
      <c r="AX98" t="s">
        <v>74</v>
      </c>
      <c r="AY98" t="s">
        <v>74</v>
      </c>
      <c r="AZ98" t="s">
        <v>74</v>
      </c>
      <c r="BA98" t="s">
        <v>74</v>
      </c>
      <c r="BB98">
        <v>165</v>
      </c>
      <c r="BC98">
        <v>187</v>
      </c>
      <c r="BD98" t="s">
        <v>74</v>
      </c>
      <c r="BE98" t="s">
        <v>1609</v>
      </c>
      <c r="BF98" t="str">
        <f>HYPERLINK("http://dx.doi.org/10.1357/002224099765038607","http://dx.doi.org/10.1357/002224099765038607")</f>
        <v>http://dx.doi.org/10.1357/002224099765038607</v>
      </c>
      <c r="BG98" t="s">
        <v>74</v>
      </c>
      <c r="BH98" t="s">
        <v>74</v>
      </c>
      <c r="BI98">
        <v>23</v>
      </c>
      <c r="BJ98" t="s">
        <v>451</v>
      </c>
      <c r="BK98" t="s">
        <v>95</v>
      </c>
      <c r="BL98" t="s">
        <v>451</v>
      </c>
      <c r="BM98" t="s">
        <v>1596</v>
      </c>
      <c r="BN98" t="s">
        <v>74</v>
      </c>
      <c r="BO98" t="s">
        <v>74</v>
      </c>
      <c r="BP98" t="s">
        <v>74</v>
      </c>
      <c r="BQ98" t="s">
        <v>74</v>
      </c>
      <c r="BR98" t="s">
        <v>98</v>
      </c>
      <c r="BS98" t="s">
        <v>1610</v>
      </c>
      <c r="BT98" t="str">
        <f>HYPERLINK("https%3A%2F%2Fwww.webofscience.com%2Fwos%2Fwoscc%2Ffull-record%2FWOS:000078959300007","View Full Record in Web of Science")</f>
        <v>View Full Record in Web of Science</v>
      </c>
    </row>
    <row r="99" spans="1:72" x14ac:dyDescent="0.15">
      <c r="A99" t="s">
        <v>72</v>
      </c>
      <c r="B99" t="s">
        <v>1611</v>
      </c>
      <c r="C99" t="s">
        <v>74</v>
      </c>
      <c r="D99" t="s">
        <v>74</v>
      </c>
      <c r="E99" t="s">
        <v>74</v>
      </c>
      <c r="F99" t="s">
        <v>1611</v>
      </c>
      <c r="G99" t="s">
        <v>74</v>
      </c>
      <c r="H99" t="s">
        <v>74</v>
      </c>
      <c r="I99" t="s">
        <v>1612</v>
      </c>
      <c r="J99" t="s">
        <v>1613</v>
      </c>
      <c r="K99" t="s">
        <v>74</v>
      </c>
      <c r="L99" t="s">
        <v>74</v>
      </c>
      <c r="M99" t="s">
        <v>77</v>
      </c>
      <c r="N99" t="s">
        <v>103</v>
      </c>
      <c r="O99" t="s">
        <v>74</v>
      </c>
      <c r="P99" t="s">
        <v>74</v>
      </c>
      <c r="Q99" t="s">
        <v>74</v>
      </c>
      <c r="R99" t="s">
        <v>74</v>
      </c>
      <c r="S99" t="s">
        <v>74</v>
      </c>
      <c r="T99" t="s">
        <v>1614</v>
      </c>
      <c r="U99" t="s">
        <v>1615</v>
      </c>
      <c r="V99" t="s">
        <v>1616</v>
      </c>
      <c r="W99" t="s">
        <v>1617</v>
      </c>
      <c r="X99" t="s">
        <v>1618</v>
      </c>
      <c r="Y99" t="s">
        <v>1619</v>
      </c>
      <c r="Z99" t="s">
        <v>1620</v>
      </c>
      <c r="AA99" t="s">
        <v>1621</v>
      </c>
      <c r="AB99" t="s">
        <v>1622</v>
      </c>
      <c r="AC99" t="s">
        <v>74</v>
      </c>
      <c r="AD99" t="s">
        <v>74</v>
      </c>
      <c r="AE99" t="s">
        <v>74</v>
      </c>
      <c r="AF99" t="s">
        <v>74</v>
      </c>
      <c r="AG99">
        <v>75</v>
      </c>
      <c r="AH99">
        <v>59</v>
      </c>
      <c r="AI99">
        <v>62</v>
      </c>
      <c r="AJ99">
        <v>1</v>
      </c>
      <c r="AK99">
        <v>7</v>
      </c>
      <c r="AL99" t="s">
        <v>1037</v>
      </c>
      <c r="AM99" t="s">
        <v>1038</v>
      </c>
      <c r="AN99" t="s">
        <v>1039</v>
      </c>
      <c r="AO99" t="s">
        <v>1623</v>
      </c>
      <c r="AP99" t="s">
        <v>1624</v>
      </c>
      <c r="AQ99" t="s">
        <v>74</v>
      </c>
      <c r="AR99" t="s">
        <v>1625</v>
      </c>
      <c r="AS99" t="s">
        <v>1626</v>
      </c>
      <c r="AT99" t="s">
        <v>143</v>
      </c>
      <c r="AU99">
        <v>1999</v>
      </c>
      <c r="AV99">
        <v>18</v>
      </c>
      <c r="AW99">
        <v>4</v>
      </c>
      <c r="AX99" t="s">
        <v>74</v>
      </c>
      <c r="AY99" t="s">
        <v>74</v>
      </c>
      <c r="AZ99" t="s">
        <v>74</v>
      </c>
      <c r="BA99" t="s">
        <v>74</v>
      </c>
      <c r="BB99">
        <v>355</v>
      </c>
      <c r="BC99">
        <v>367</v>
      </c>
      <c r="BD99" t="s">
        <v>74</v>
      </c>
      <c r="BE99" t="s">
        <v>1627</v>
      </c>
      <c r="BF99" t="str">
        <f>HYPERLINK("http://dx.doi.org/10.1016/S0924-7963(97)00112-7","http://dx.doi.org/10.1016/S0924-7963(97)00112-7")</f>
        <v>http://dx.doi.org/10.1016/S0924-7963(97)00112-7</v>
      </c>
      <c r="BG99" t="s">
        <v>74</v>
      </c>
      <c r="BH99" t="s">
        <v>74</v>
      </c>
      <c r="BI99">
        <v>13</v>
      </c>
      <c r="BJ99" t="s">
        <v>1628</v>
      </c>
      <c r="BK99" t="s">
        <v>95</v>
      </c>
      <c r="BL99" t="s">
        <v>1629</v>
      </c>
      <c r="BM99" t="s">
        <v>1630</v>
      </c>
      <c r="BN99" t="s">
        <v>74</v>
      </c>
      <c r="BO99" t="s">
        <v>74</v>
      </c>
      <c r="BP99" t="s">
        <v>74</v>
      </c>
      <c r="BQ99" t="s">
        <v>74</v>
      </c>
      <c r="BR99" t="s">
        <v>98</v>
      </c>
      <c r="BS99" t="s">
        <v>1631</v>
      </c>
      <c r="BT99" t="str">
        <f>HYPERLINK("https%3A%2F%2Fwww.webofscience.com%2Fwos%2Fwoscc%2Ffull-record%2FWOS:000077618800004","View Full Record in Web of Science")</f>
        <v>View Full Record in Web of Science</v>
      </c>
    </row>
    <row r="100" spans="1:72" x14ac:dyDescent="0.15">
      <c r="A100" t="s">
        <v>72</v>
      </c>
      <c r="B100" t="s">
        <v>1632</v>
      </c>
      <c r="C100" t="s">
        <v>74</v>
      </c>
      <c r="D100" t="s">
        <v>74</v>
      </c>
      <c r="E100" t="s">
        <v>74</v>
      </c>
      <c r="F100" t="s">
        <v>1632</v>
      </c>
      <c r="G100" t="s">
        <v>74</v>
      </c>
      <c r="H100" t="s">
        <v>74</v>
      </c>
      <c r="I100" t="s">
        <v>1633</v>
      </c>
      <c r="J100" t="s">
        <v>1634</v>
      </c>
      <c r="K100" t="s">
        <v>74</v>
      </c>
      <c r="L100" t="s">
        <v>74</v>
      </c>
      <c r="M100" t="s">
        <v>77</v>
      </c>
      <c r="N100" t="s">
        <v>103</v>
      </c>
      <c r="O100" t="s">
        <v>74</v>
      </c>
      <c r="P100" t="s">
        <v>74</v>
      </c>
      <c r="Q100" t="s">
        <v>74</v>
      </c>
      <c r="R100" t="s">
        <v>74</v>
      </c>
      <c r="S100" t="s">
        <v>74</v>
      </c>
      <c r="T100" t="s">
        <v>1635</v>
      </c>
      <c r="U100" t="s">
        <v>1636</v>
      </c>
      <c r="V100" t="s">
        <v>1637</v>
      </c>
      <c r="W100" t="s">
        <v>1638</v>
      </c>
      <c r="X100" t="s">
        <v>1639</v>
      </c>
      <c r="Y100" t="s">
        <v>1640</v>
      </c>
      <c r="Z100" t="s">
        <v>74</v>
      </c>
      <c r="AA100" t="s">
        <v>1641</v>
      </c>
      <c r="AB100" t="s">
        <v>1642</v>
      </c>
      <c r="AC100" t="s">
        <v>74</v>
      </c>
      <c r="AD100" t="s">
        <v>74</v>
      </c>
      <c r="AE100" t="s">
        <v>74</v>
      </c>
      <c r="AF100" t="s">
        <v>74</v>
      </c>
      <c r="AG100">
        <v>46</v>
      </c>
      <c r="AH100">
        <v>44</v>
      </c>
      <c r="AI100">
        <v>49</v>
      </c>
      <c r="AJ100">
        <v>1</v>
      </c>
      <c r="AK100">
        <v>22</v>
      </c>
      <c r="AL100" t="s">
        <v>1643</v>
      </c>
      <c r="AM100" t="s">
        <v>1644</v>
      </c>
      <c r="AN100" t="s">
        <v>1645</v>
      </c>
      <c r="AO100" t="s">
        <v>1646</v>
      </c>
      <c r="AP100" t="s">
        <v>74</v>
      </c>
      <c r="AQ100" t="s">
        <v>74</v>
      </c>
      <c r="AR100" t="s">
        <v>1647</v>
      </c>
      <c r="AS100" t="s">
        <v>1648</v>
      </c>
      <c r="AT100" t="s">
        <v>143</v>
      </c>
      <c r="AU100">
        <v>1999</v>
      </c>
      <c r="AV100">
        <v>48</v>
      </c>
      <c r="AW100">
        <v>1</v>
      </c>
      <c r="AX100" t="s">
        <v>74</v>
      </c>
      <c r="AY100" t="s">
        <v>74</v>
      </c>
      <c r="AZ100" t="s">
        <v>74</v>
      </c>
      <c r="BA100" t="s">
        <v>74</v>
      </c>
      <c r="BB100">
        <v>75</v>
      </c>
      <c r="BC100">
        <v>82</v>
      </c>
      <c r="BD100" t="s">
        <v>74</v>
      </c>
      <c r="BE100" t="s">
        <v>1649</v>
      </c>
      <c r="BF100" t="str">
        <f>HYPERLINK("http://dx.doi.org/10.1016/S1011-1344(99)00015-9","http://dx.doi.org/10.1016/S1011-1344(99)00015-9")</f>
        <v>http://dx.doi.org/10.1016/S1011-1344(99)00015-9</v>
      </c>
      <c r="BG100" t="s">
        <v>74</v>
      </c>
      <c r="BH100" t="s">
        <v>74</v>
      </c>
      <c r="BI100">
        <v>8</v>
      </c>
      <c r="BJ100" t="s">
        <v>1650</v>
      </c>
      <c r="BK100" t="s">
        <v>95</v>
      </c>
      <c r="BL100" t="s">
        <v>1650</v>
      </c>
      <c r="BM100" t="s">
        <v>1651</v>
      </c>
      <c r="BN100" t="s">
        <v>74</v>
      </c>
      <c r="BO100" t="s">
        <v>74</v>
      </c>
      <c r="BP100" t="s">
        <v>74</v>
      </c>
      <c r="BQ100" t="s">
        <v>74</v>
      </c>
      <c r="BR100" t="s">
        <v>98</v>
      </c>
      <c r="BS100" t="s">
        <v>1652</v>
      </c>
      <c r="BT100" t="str">
        <f>HYPERLINK("https%3A%2F%2Fwww.webofscience.com%2Fwos%2Fwoscc%2Ffull-record%2FWOS:000079553000011","View Full Record in Web of Science")</f>
        <v>View Full Record in Web of Science</v>
      </c>
    </row>
    <row r="101" spans="1:72" x14ac:dyDescent="0.15">
      <c r="A101" t="s">
        <v>72</v>
      </c>
      <c r="B101" t="s">
        <v>1653</v>
      </c>
      <c r="C101" t="s">
        <v>74</v>
      </c>
      <c r="D101" t="s">
        <v>74</v>
      </c>
      <c r="E101" t="s">
        <v>74</v>
      </c>
      <c r="F101" t="s">
        <v>1653</v>
      </c>
      <c r="G101" t="s">
        <v>74</v>
      </c>
      <c r="H101" t="s">
        <v>74</v>
      </c>
      <c r="I101" t="s">
        <v>1654</v>
      </c>
      <c r="J101" t="s">
        <v>1655</v>
      </c>
      <c r="K101" t="s">
        <v>74</v>
      </c>
      <c r="L101" t="s">
        <v>74</v>
      </c>
      <c r="M101" t="s">
        <v>77</v>
      </c>
      <c r="N101" t="s">
        <v>103</v>
      </c>
      <c r="O101" t="s">
        <v>74</v>
      </c>
      <c r="P101" t="s">
        <v>74</v>
      </c>
      <c r="Q101" t="s">
        <v>74</v>
      </c>
      <c r="R101" t="s">
        <v>74</v>
      </c>
      <c r="S101" t="s">
        <v>74</v>
      </c>
      <c r="T101" t="s">
        <v>74</v>
      </c>
      <c r="U101" t="s">
        <v>1656</v>
      </c>
      <c r="V101" t="s">
        <v>1657</v>
      </c>
      <c r="W101" t="s">
        <v>1658</v>
      </c>
      <c r="X101" t="s">
        <v>1659</v>
      </c>
      <c r="Y101" t="s">
        <v>1660</v>
      </c>
      <c r="Z101" t="s">
        <v>1661</v>
      </c>
      <c r="AA101" t="s">
        <v>1662</v>
      </c>
      <c r="AB101" t="s">
        <v>74</v>
      </c>
      <c r="AC101" t="s">
        <v>74</v>
      </c>
      <c r="AD101" t="s">
        <v>74</v>
      </c>
      <c r="AE101" t="s">
        <v>74</v>
      </c>
      <c r="AF101" t="s">
        <v>74</v>
      </c>
      <c r="AG101">
        <v>32</v>
      </c>
      <c r="AH101">
        <v>32</v>
      </c>
      <c r="AI101">
        <v>36</v>
      </c>
      <c r="AJ101">
        <v>0</v>
      </c>
      <c r="AK101">
        <v>1</v>
      </c>
      <c r="AL101" t="s">
        <v>445</v>
      </c>
      <c r="AM101" t="s">
        <v>229</v>
      </c>
      <c r="AN101" t="s">
        <v>446</v>
      </c>
      <c r="AO101" t="s">
        <v>1663</v>
      </c>
      <c r="AP101" t="s">
        <v>74</v>
      </c>
      <c r="AQ101" t="s">
        <v>74</v>
      </c>
      <c r="AR101" t="s">
        <v>1664</v>
      </c>
      <c r="AS101" t="s">
        <v>1665</v>
      </c>
      <c r="AT101" t="s">
        <v>143</v>
      </c>
      <c r="AU101">
        <v>1999</v>
      </c>
      <c r="AV101">
        <v>21</v>
      </c>
      <c r="AW101">
        <v>1</v>
      </c>
      <c r="AX101" t="s">
        <v>74</v>
      </c>
      <c r="AY101" t="s">
        <v>74</v>
      </c>
      <c r="AZ101" t="s">
        <v>74</v>
      </c>
      <c r="BA101" t="s">
        <v>74</v>
      </c>
      <c r="BB101">
        <v>39</v>
      </c>
      <c r="BC101">
        <v>54</v>
      </c>
      <c r="BD101" t="s">
        <v>74</v>
      </c>
      <c r="BE101" t="s">
        <v>1666</v>
      </c>
      <c r="BF101" t="str">
        <f>HYPERLINK("http://dx.doi.org/10.1016/S0191-8141(98)00095-9","http://dx.doi.org/10.1016/S0191-8141(98)00095-9")</f>
        <v>http://dx.doi.org/10.1016/S0191-8141(98)00095-9</v>
      </c>
      <c r="BG101" t="s">
        <v>74</v>
      </c>
      <c r="BH101" t="s">
        <v>74</v>
      </c>
      <c r="BI101">
        <v>16</v>
      </c>
      <c r="BJ101" t="s">
        <v>192</v>
      </c>
      <c r="BK101" t="s">
        <v>95</v>
      </c>
      <c r="BL101" t="s">
        <v>193</v>
      </c>
      <c r="BM101" t="s">
        <v>1667</v>
      </c>
      <c r="BN101" t="s">
        <v>74</v>
      </c>
      <c r="BO101" t="s">
        <v>74</v>
      </c>
      <c r="BP101" t="s">
        <v>74</v>
      </c>
      <c r="BQ101" t="s">
        <v>74</v>
      </c>
      <c r="BR101" t="s">
        <v>98</v>
      </c>
      <c r="BS101" t="s">
        <v>1668</v>
      </c>
      <c r="BT101" t="str">
        <f>HYPERLINK("https%3A%2F%2Fwww.webofscience.com%2Fwos%2Fwoscc%2Ffull-record%2FWOS:000078042900004","View Full Record in Web of Science")</f>
        <v>View Full Record in Web of Science</v>
      </c>
    </row>
    <row r="102" spans="1:72" x14ac:dyDescent="0.15">
      <c r="A102" t="s">
        <v>72</v>
      </c>
      <c r="B102" t="s">
        <v>1669</v>
      </c>
      <c r="C102" t="s">
        <v>74</v>
      </c>
      <c r="D102" t="s">
        <v>74</v>
      </c>
      <c r="E102" t="s">
        <v>74</v>
      </c>
      <c r="F102" t="s">
        <v>1669</v>
      </c>
      <c r="G102" t="s">
        <v>74</v>
      </c>
      <c r="H102" t="s">
        <v>74</v>
      </c>
      <c r="I102" t="s">
        <v>1670</v>
      </c>
      <c r="J102" t="s">
        <v>1671</v>
      </c>
      <c r="K102" t="s">
        <v>74</v>
      </c>
      <c r="L102" t="s">
        <v>74</v>
      </c>
      <c r="M102" t="s">
        <v>77</v>
      </c>
      <c r="N102" t="s">
        <v>103</v>
      </c>
      <c r="O102" t="s">
        <v>74</v>
      </c>
      <c r="P102" t="s">
        <v>74</v>
      </c>
      <c r="Q102" t="s">
        <v>74</v>
      </c>
      <c r="R102" t="s">
        <v>74</v>
      </c>
      <c r="S102" t="s">
        <v>74</v>
      </c>
      <c r="T102" t="s">
        <v>74</v>
      </c>
      <c r="U102" t="s">
        <v>74</v>
      </c>
      <c r="V102" t="s">
        <v>1672</v>
      </c>
      <c r="W102" t="s">
        <v>1673</v>
      </c>
      <c r="X102" t="s">
        <v>74</v>
      </c>
      <c r="Y102" t="s">
        <v>1674</v>
      </c>
      <c r="Z102" t="s">
        <v>1675</v>
      </c>
      <c r="AA102" t="s">
        <v>74</v>
      </c>
      <c r="AB102" t="s">
        <v>74</v>
      </c>
      <c r="AC102" t="s">
        <v>74</v>
      </c>
      <c r="AD102" t="s">
        <v>74</v>
      </c>
      <c r="AE102" t="s">
        <v>74</v>
      </c>
      <c r="AF102" t="s">
        <v>74</v>
      </c>
      <c r="AG102">
        <v>0</v>
      </c>
      <c r="AH102">
        <v>17</v>
      </c>
      <c r="AI102">
        <v>17</v>
      </c>
      <c r="AJ102">
        <v>0</v>
      </c>
      <c r="AK102">
        <v>1</v>
      </c>
      <c r="AL102" t="s">
        <v>1676</v>
      </c>
      <c r="AM102" t="s">
        <v>1121</v>
      </c>
      <c r="AN102" t="s">
        <v>1677</v>
      </c>
      <c r="AO102" t="s">
        <v>1678</v>
      </c>
      <c r="AP102" t="s">
        <v>1679</v>
      </c>
      <c r="AQ102" t="s">
        <v>74</v>
      </c>
      <c r="AR102" t="s">
        <v>1680</v>
      </c>
      <c r="AS102" t="s">
        <v>1681</v>
      </c>
      <c r="AT102" t="s">
        <v>74</v>
      </c>
      <c r="AU102">
        <v>1999</v>
      </c>
      <c r="AV102">
        <v>5</v>
      </c>
      <c r="AW102" t="s">
        <v>74</v>
      </c>
      <c r="AX102" t="s">
        <v>74</v>
      </c>
      <c r="AY102">
        <v>1</v>
      </c>
      <c r="AZ102" t="s">
        <v>74</v>
      </c>
      <c r="BA102" t="s">
        <v>74</v>
      </c>
      <c r="BB102">
        <v>87</v>
      </c>
      <c r="BC102">
        <v>89</v>
      </c>
      <c r="BD102" t="s">
        <v>74</v>
      </c>
      <c r="BE102" t="s">
        <v>1682</v>
      </c>
      <c r="BF102" t="str">
        <f>HYPERLINK("http://dx.doi.org/10.1258/1357633991932702","http://dx.doi.org/10.1258/1357633991932702")</f>
        <v>http://dx.doi.org/10.1258/1357633991932702</v>
      </c>
      <c r="BG102" t="s">
        <v>74</v>
      </c>
      <c r="BH102" t="s">
        <v>74</v>
      </c>
      <c r="BI102">
        <v>3</v>
      </c>
      <c r="BJ102" t="s">
        <v>1683</v>
      </c>
      <c r="BK102" t="s">
        <v>95</v>
      </c>
      <c r="BL102" t="s">
        <v>1683</v>
      </c>
      <c r="BM102" t="s">
        <v>1684</v>
      </c>
      <c r="BN102" t="s">
        <v>74</v>
      </c>
      <c r="BO102" t="s">
        <v>74</v>
      </c>
      <c r="BP102" t="s">
        <v>74</v>
      </c>
      <c r="BQ102" t="s">
        <v>74</v>
      </c>
      <c r="BR102" t="s">
        <v>98</v>
      </c>
      <c r="BS102" t="s">
        <v>1685</v>
      </c>
      <c r="BT102" t="str">
        <f>HYPERLINK("https%3A%2F%2Fwww.webofscience.com%2Fwos%2Fwoscc%2Ffull-record%2FWOS:000079101100036","View Full Record in Web of Science")</f>
        <v>View Full Record in Web of Science</v>
      </c>
    </row>
    <row r="103" spans="1:72" x14ac:dyDescent="0.15">
      <c r="A103" t="s">
        <v>72</v>
      </c>
      <c r="B103" t="s">
        <v>1686</v>
      </c>
      <c r="C103" t="s">
        <v>74</v>
      </c>
      <c r="D103" t="s">
        <v>74</v>
      </c>
      <c r="E103" t="s">
        <v>74</v>
      </c>
      <c r="F103" t="s">
        <v>1686</v>
      </c>
      <c r="G103" t="s">
        <v>74</v>
      </c>
      <c r="H103" t="s">
        <v>74</v>
      </c>
      <c r="I103" t="s">
        <v>1687</v>
      </c>
      <c r="J103" t="s">
        <v>1688</v>
      </c>
      <c r="K103" t="s">
        <v>74</v>
      </c>
      <c r="L103" t="s">
        <v>74</v>
      </c>
      <c r="M103" t="s">
        <v>77</v>
      </c>
      <c r="N103" t="s">
        <v>103</v>
      </c>
      <c r="O103" t="s">
        <v>74</v>
      </c>
      <c r="P103" t="s">
        <v>74</v>
      </c>
      <c r="Q103" t="s">
        <v>74</v>
      </c>
      <c r="R103" t="s">
        <v>74</v>
      </c>
      <c r="S103" t="s">
        <v>74</v>
      </c>
      <c r="T103" t="s">
        <v>1689</v>
      </c>
      <c r="U103" t="s">
        <v>1690</v>
      </c>
      <c r="V103" t="s">
        <v>1691</v>
      </c>
      <c r="W103" t="s">
        <v>1692</v>
      </c>
      <c r="X103" t="s">
        <v>1693</v>
      </c>
      <c r="Y103" t="s">
        <v>1694</v>
      </c>
      <c r="Z103" t="s">
        <v>1695</v>
      </c>
      <c r="AA103" t="s">
        <v>74</v>
      </c>
      <c r="AB103" t="s">
        <v>1696</v>
      </c>
      <c r="AC103" t="s">
        <v>74</v>
      </c>
      <c r="AD103" t="s">
        <v>74</v>
      </c>
      <c r="AE103" t="s">
        <v>74</v>
      </c>
      <c r="AF103" t="s">
        <v>74</v>
      </c>
      <c r="AG103">
        <v>40</v>
      </c>
      <c r="AH103">
        <v>13</v>
      </c>
      <c r="AI103">
        <v>14</v>
      </c>
      <c r="AJ103">
        <v>1</v>
      </c>
      <c r="AK103">
        <v>4</v>
      </c>
      <c r="AL103" t="s">
        <v>1697</v>
      </c>
      <c r="AM103" t="s">
        <v>1698</v>
      </c>
      <c r="AN103" t="s">
        <v>1699</v>
      </c>
      <c r="AO103" t="s">
        <v>1700</v>
      </c>
      <c r="AP103" t="s">
        <v>1701</v>
      </c>
      <c r="AQ103" t="s">
        <v>74</v>
      </c>
      <c r="AR103" t="s">
        <v>1702</v>
      </c>
      <c r="AS103" t="s">
        <v>1703</v>
      </c>
      <c r="AT103" t="s">
        <v>143</v>
      </c>
      <c r="AU103">
        <v>1999</v>
      </c>
      <c r="AV103">
        <v>156</v>
      </c>
      <c r="AW103" t="s">
        <v>74</v>
      </c>
      <c r="AX103">
        <v>1</v>
      </c>
      <c r="AY103" t="s">
        <v>74</v>
      </c>
      <c r="AZ103" t="s">
        <v>74</v>
      </c>
      <c r="BA103" t="s">
        <v>74</v>
      </c>
      <c r="BB103">
        <v>55</v>
      </c>
      <c r="BC103">
        <v>61</v>
      </c>
      <c r="BD103" t="s">
        <v>74</v>
      </c>
      <c r="BE103" t="s">
        <v>1704</v>
      </c>
      <c r="BF103" t="str">
        <f>HYPERLINK("http://dx.doi.org/10.1144/gsjgs.156.1.0055","http://dx.doi.org/10.1144/gsjgs.156.1.0055")</f>
        <v>http://dx.doi.org/10.1144/gsjgs.156.1.0055</v>
      </c>
      <c r="BG103" t="s">
        <v>74</v>
      </c>
      <c r="BH103" t="s">
        <v>74</v>
      </c>
      <c r="BI103">
        <v>7</v>
      </c>
      <c r="BJ103" t="s">
        <v>192</v>
      </c>
      <c r="BK103" t="s">
        <v>95</v>
      </c>
      <c r="BL103" t="s">
        <v>193</v>
      </c>
      <c r="BM103" t="s">
        <v>1705</v>
      </c>
      <c r="BN103" t="s">
        <v>74</v>
      </c>
      <c r="BO103" t="s">
        <v>74</v>
      </c>
      <c r="BP103" t="s">
        <v>74</v>
      </c>
      <c r="BQ103" t="s">
        <v>74</v>
      </c>
      <c r="BR103" t="s">
        <v>98</v>
      </c>
      <c r="BS103" t="s">
        <v>1706</v>
      </c>
      <c r="BT103" t="str">
        <f>HYPERLINK("https%3A%2F%2Fwww.webofscience.com%2Fwos%2Fwoscc%2Ffull-record%2FWOS:000078137000008","View Full Record in Web of Science")</f>
        <v>View Full Record in Web of Science</v>
      </c>
    </row>
    <row r="104" spans="1:72" x14ac:dyDescent="0.15">
      <c r="A104" t="s">
        <v>72</v>
      </c>
      <c r="B104" t="s">
        <v>1707</v>
      </c>
      <c r="C104" t="s">
        <v>74</v>
      </c>
      <c r="D104" t="s">
        <v>74</v>
      </c>
      <c r="E104" t="s">
        <v>74</v>
      </c>
      <c r="F104" t="s">
        <v>1707</v>
      </c>
      <c r="G104" t="s">
        <v>74</v>
      </c>
      <c r="H104" t="s">
        <v>74</v>
      </c>
      <c r="I104" t="s">
        <v>1708</v>
      </c>
      <c r="J104" t="s">
        <v>1709</v>
      </c>
      <c r="K104" t="s">
        <v>74</v>
      </c>
      <c r="L104" t="s">
        <v>74</v>
      </c>
      <c r="M104" t="s">
        <v>77</v>
      </c>
      <c r="N104" t="s">
        <v>103</v>
      </c>
      <c r="O104" t="s">
        <v>74</v>
      </c>
      <c r="P104" t="s">
        <v>74</v>
      </c>
      <c r="Q104" t="s">
        <v>74</v>
      </c>
      <c r="R104" t="s">
        <v>74</v>
      </c>
      <c r="S104" t="s">
        <v>74</v>
      </c>
      <c r="T104" t="s">
        <v>74</v>
      </c>
      <c r="U104" t="s">
        <v>1710</v>
      </c>
      <c r="V104" t="s">
        <v>1711</v>
      </c>
      <c r="W104" t="s">
        <v>1712</v>
      </c>
      <c r="X104" t="s">
        <v>1713</v>
      </c>
      <c r="Y104" t="s">
        <v>1714</v>
      </c>
      <c r="Z104" t="s">
        <v>1715</v>
      </c>
      <c r="AA104" t="s">
        <v>74</v>
      </c>
      <c r="AB104" t="s">
        <v>74</v>
      </c>
      <c r="AC104" t="s">
        <v>74</v>
      </c>
      <c r="AD104" t="s">
        <v>74</v>
      </c>
      <c r="AE104" t="s">
        <v>74</v>
      </c>
      <c r="AF104" t="s">
        <v>74</v>
      </c>
      <c r="AG104">
        <v>15</v>
      </c>
      <c r="AH104">
        <v>5</v>
      </c>
      <c r="AI104">
        <v>5</v>
      </c>
      <c r="AJ104">
        <v>0</v>
      </c>
      <c r="AK104">
        <v>0</v>
      </c>
      <c r="AL104" t="s">
        <v>1716</v>
      </c>
      <c r="AM104" t="s">
        <v>229</v>
      </c>
      <c r="AN104" t="s">
        <v>1717</v>
      </c>
      <c r="AO104" t="s">
        <v>1718</v>
      </c>
      <c r="AP104" t="s">
        <v>74</v>
      </c>
      <c r="AQ104" t="s">
        <v>74</v>
      </c>
      <c r="AR104" t="s">
        <v>1719</v>
      </c>
      <c r="AS104" t="s">
        <v>1720</v>
      </c>
      <c r="AT104" t="s">
        <v>143</v>
      </c>
      <c r="AU104">
        <v>1999</v>
      </c>
      <c r="AV104">
        <v>28</v>
      </c>
      <c r="AW104">
        <v>1</v>
      </c>
      <c r="AX104" t="s">
        <v>74</v>
      </c>
      <c r="AY104" t="s">
        <v>74</v>
      </c>
      <c r="AZ104" t="s">
        <v>74</v>
      </c>
      <c r="BA104" t="s">
        <v>74</v>
      </c>
      <c r="BB104">
        <v>49</v>
      </c>
      <c r="BC104">
        <v>51</v>
      </c>
      <c r="BD104" t="s">
        <v>74</v>
      </c>
      <c r="BE104" t="s">
        <v>1721</v>
      </c>
      <c r="BF104" t="str">
        <f>HYPERLINK("http://dx.doi.org/10.1046/j.1472-765X.1999.00471.x","http://dx.doi.org/10.1046/j.1472-765X.1999.00471.x")</f>
        <v>http://dx.doi.org/10.1046/j.1472-765X.1999.00471.x</v>
      </c>
      <c r="BG104" t="s">
        <v>74</v>
      </c>
      <c r="BH104" t="s">
        <v>74</v>
      </c>
      <c r="BI104">
        <v>3</v>
      </c>
      <c r="BJ104" t="s">
        <v>1722</v>
      </c>
      <c r="BK104" t="s">
        <v>95</v>
      </c>
      <c r="BL104" t="s">
        <v>1722</v>
      </c>
      <c r="BM104" t="s">
        <v>1723</v>
      </c>
      <c r="BN104" t="s">
        <v>74</v>
      </c>
      <c r="BO104" t="s">
        <v>74</v>
      </c>
      <c r="BP104" t="s">
        <v>74</v>
      </c>
      <c r="BQ104" t="s">
        <v>74</v>
      </c>
      <c r="BR104" t="s">
        <v>98</v>
      </c>
      <c r="BS104" t="s">
        <v>1724</v>
      </c>
      <c r="BT104" t="str">
        <f>HYPERLINK("https%3A%2F%2Fwww.webofscience.com%2Fwos%2Fwoscc%2Ffull-record%2FWOS:000078388000010","View Full Record in Web of Science")</f>
        <v>View Full Record in Web of Science</v>
      </c>
    </row>
    <row r="105" spans="1:72" x14ac:dyDescent="0.15">
      <c r="A105" t="s">
        <v>215</v>
      </c>
      <c r="B105" t="s">
        <v>1725</v>
      </c>
      <c r="C105" t="s">
        <v>74</v>
      </c>
      <c r="D105" t="s">
        <v>1726</v>
      </c>
      <c r="E105" t="s">
        <v>74</v>
      </c>
      <c r="F105" t="s">
        <v>1725</v>
      </c>
      <c r="G105" t="s">
        <v>74</v>
      </c>
      <c r="H105" t="s">
        <v>74</v>
      </c>
      <c r="I105" t="s">
        <v>1727</v>
      </c>
      <c r="J105" t="s">
        <v>1728</v>
      </c>
      <c r="K105" t="s">
        <v>1729</v>
      </c>
      <c r="L105" t="s">
        <v>74</v>
      </c>
      <c r="M105" t="s">
        <v>77</v>
      </c>
      <c r="N105" t="s">
        <v>78</v>
      </c>
      <c r="O105" t="s">
        <v>1730</v>
      </c>
      <c r="P105" t="s">
        <v>1731</v>
      </c>
      <c r="Q105" t="s">
        <v>1732</v>
      </c>
      <c r="R105" t="s">
        <v>74</v>
      </c>
      <c r="S105" t="s">
        <v>74</v>
      </c>
      <c r="T105" t="s">
        <v>74</v>
      </c>
      <c r="U105" t="s">
        <v>1733</v>
      </c>
      <c r="V105" t="s">
        <v>1734</v>
      </c>
      <c r="W105" t="s">
        <v>1735</v>
      </c>
      <c r="X105" t="s">
        <v>1736</v>
      </c>
      <c r="Y105" t="s">
        <v>1737</v>
      </c>
      <c r="Z105" t="s">
        <v>74</v>
      </c>
      <c r="AA105" t="s">
        <v>1738</v>
      </c>
      <c r="AB105" t="s">
        <v>74</v>
      </c>
      <c r="AC105" t="s">
        <v>74</v>
      </c>
      <c r="AD105" t="s">
        <v>74</v>
      </c>
      <c r="AE105" t="s">
        <v>74</v>
      </c>
      <c r="AF105" t="s">
        <v>74</v>
      </c>
      <c r="AG105">
        <v>190</v>
      </c>
      <c r="AH105">
        <v>53</v>
      </c>
      <c r="AI105">
        <v>65</v>
      </c>
      <c r="AJ105">
        <v>0</v>
      </c>
      <c r="AK105">
        <v>36</v>
      </c>
      <c r="AL105" t="s">
        <v>1739</v>
      </c>
      <c r="AM105" t="s">
        <v>1740</v>
      </c>
      <c r="AN105" t="s">
        <v>1741</v>
      </c>
      <c r="AO105" t="s">
        <v>1742</v>
      </c>
      <c r="AP105" t="s">
        <v>74</v>
      </c>
      <c r="AQ105" t="s">
        <v>1743</v>
      </c>
      <c r="AR105" t="s">
        <v>1744</v>
      </c>
      <c r="AS105" t="s">
        <v>1745</v>
      </c>
      <c r="AT105" t="s">
        <v>74</v>
      </c>
      <c r="AU105">
        <v>1999</v>
      </c>
      <c r="AV105">
        <v>23</v>
      </c>
      <c r="AW105" t="s">
        <v>74</v>
      </c>
      <c r="AX105" t="s">
        <v>74</v>
      </c>
      <c r="AY105" t="s">
        <v>74</v>
      </c>
      <c r="AZ105" t="s">
        <v>74</v>
      </c>
      <c r="BA105" t="s">
        <v>74</v>
      </c>
      <c r="BB105">
        <v>51</v>
      </c>
      <c r="BC105">
        <v>76</v>
      </c>
      <c r="BD105" t="s">
        <v>74</v>
      </c>
      <c r="BE105" t="s">
        <v>74</v>
      </c>
      <c r="BF105" t="s">
        <v>74</v>
      </c>
      <c r="BG105" t="s">
        <v>74</v>
      </c>
      <c r="BH105" t="s">
        <v>74</v>
      </c>
      <c r="BI105">
        <v>26</v>
      </c>
      <c r="BJ105" t="s">
        <v>1746</v>
      </c>
      <c r="BK105" t="s">
        <v>171</v>
      </c>
      <c r="BL105" t="s">
        <v>1746</v>
      </c>
      <c r="BM105" t="s">
        <v>1747</v>
      </c>
      <c r="BN105" t="s">
        <v>74</v>
      </c>
      <c r="BO105" t="s">
        <v>74</v>
      </c>
      <c r="BP105" t="s">
        <v>74</v>
      </c>
      <c r="BQ105" t="s">
        <v>74</v>
      </c>
      <c r="BR105" t="s">
        <v>98</v>
      </c>
      <c r="BS105" t="s">
        <v>1748</v>
      </c>
      <c r="BT105" t="str">
        <f>HYPERLINK("https%3A%2F%2Fwww.webofscience.com%2Fwos%2Fwoscc%2Ffull-record%2FWOS:000082615800005","View Full Record in Web of Science")</f>
        <v>View Full Record in Web of Science</v>
      </c>
    </row>
    <row r="106" spans="1:72" x14ac:dyDescent="0.15">
      <c r="A106" t="s">
        <v>147</v>
      </c>
      <c r="B106" t="s">
        <v>1749</v>
      </c>
      <c r="C106" t="s">
        <v>74</v>
      </c>
      <c r="D106" t="s">
        <v>1726</v>
      </c>
      <c r="E106" t="s">
        <v>74</v>
      </c>
      <c r="F106" t="s">
        <v>1749</v>
      </c>
      <c r="G106" t="s">
        <v>74</v>
      </c>
      <c r="H106" t="s">
        <v>74</v>
      </c>
      <c r="I106" t="s">
        <v>1750</v>
      </c>
      <c r="J106" t="s">
        <v>1728</v>
      </c>
      <c r="K106" t="s">
        <v>1751</v>
      </c>
      <c r="L106" t="s">
        <v>74</v>
      </c>
      <c r="M106" t="s">
        <v>77</v>
      </c>
      <c r="N106" t="s">
        <v>153</v>
      </c>
      <c r="O106" t="s">
        <v>1730</v>
      </c>
      <c r="P106" t="s">
        <v>1731</v>
      </c>
      <c r="Q106" t="s">
        <v>1732</v>
      </c>
      <c r="R106" t="s">
        <v>74</v>
      </c>
      <c r="S106" t="s">
        <v>74</v>
      </c>
      <c r="T106" t="s">
        <v>74</v>
      </c>
      <c r="U106" t="s">
        <v>1752</v>
      </c>
      <c r="V106" t="s">
        <v>1753</v>
      </c>
      <c r="W106" t="s">
        <v>74</v>
      </c>
      <c r="X106" t="s">
        <v>74</v>
      </c>
      <c r="Y106" t="s">
        <v>74</v>
      </c>
      <c r="Z106" t="s">
        <v>74</v>
      </c>
      <c r="AA106" t="s">
        <v>74</v>
      </c>
      <c r="AB106" t="s">
        <v>74</v>
      </c>
      <c r="AC106" t="s">
        <v>74</v>
      </c>
      <c r="AD106" t="s">
        <v>74</v>
      </c>
      <c r="AE106" t="s">
        <v>74</v>
      </c>
      <c r="AF106" t="s">
        <v>74</v>
      </c>
      <c r="AG106">
        <v>37</v>
      </c>
      <c r="AH106">
        <v>14</v>
      </c>
      <c r="AI106">
        <v>16</v>
      </c>
      <c r="AJ106">
        <v>2</v>
      </c>
      <c r="AK106">
        <v>15</v>
      </c>
      <c r="AL106" t="s">
        <v>1739</v>
      </c>
      <c r="AM106" t="s">
        <v>1740</v>
      </c>
      <c r="AN106" t="s">
        <v>1741</v>
      </c>
      <c r="AO106" t="s">
        <v>1742</v>
      </c>
      <c r="AP106" t="s">
        <v>74</v>
      </c>
      <c r="AQ106" t="s">
        <v>1743</v>
      </c>
      <c r="AR106" t="s">
        <v>1744</v>
      </c>
      <c r="AS106" t="s">
        <v>74</v>
      </c>
      <c r="AT106" t="s">
        <v>74</v>
      </c>
      <c r="AU106">
        <v>1999</v>
      </c>
      <c r="AV106">
        <v>23</v>
      </c>
      <c r="AW106" t="s">
        <v>74</v>
      </c>
      <c r="AX106" t="s">
        <v>74</v>
      </c>
      <c r="AY106" t="s">
        <v>74</v>
      </c>
      <c r="AZ106" t="s">
        <v>74</v>
      </c>
      <c r="BA106" t="s">
        <v>74</v>
      </c>
      <c r="BB106">
        <v>89</v>
      </c>
      <c r="BC106">
        <v>106</v>
      </c>
      <c r="BD106" t="s">
        <v>74</v>
      </c>
      <c r="BE106" t="s">
        <v>74</v>
      </c>
      <c r="BF106" t="s">
        <v>74</v>
      </c>
      <c r="BG106" t="s">
        <v>74</v>
      </c>
      <c r="BH106" t="s">
        <v>74</v>
      </c>
      <c r="BI106">
        <v>18</v>
      </c>
      <c r="BJ106" t="s">
        <v>1746</v>
      </c>
      <c r="BK106" t="s">
        <v>171</v>
      </c>
      <c r="BL106" t="s">
        <v>1746</v>
      </c>
      <c r="BM106" t="s">
        <v>1747</v>
      </c>
      <c r="BN106" t="s">
        <v>74</v>
      </c>
      <c r="BO106" t="s">
        <v>74</v>
      </c>
      <c r="BP106" t="s">
        <v>74</v>
      </c>
      <c r="BQ106" t="s">
        <v>74</v>
      </c>
      <c r="BR106" t="s">
        <v>98</v>
      </c>
      <c r="BS106" t="s">
        <v>1754</v>
      </c>
      <c r="BT106" t="str">
        <f>HYPERLINK("https%3A%2F%2Fwww.webofscience.com%2Fwos%2Fwoscc%2Ffull-record%2FWOS:000082615800007","View Full Record in Web of Science")</f>
        <v>View Full Record in Web of Science</v>
      </c>
    </row>
    <row r="107" spans="1:72" x14ac:dyDescent="0.15">
      <c r="A107" t="s">
        <v>215</v>
      </c>
      <c r="B107" t="s">
        <v>1755</v>
      </c>
      <c r="C107" t="s">
        <v>74</v>
      </c>
      <c r="D107" t="s">
        <v>1756</v>
      </c>
      <c r="E107" t="s">
        <v>74</v>
      </c>
      <c r="F107" t="s">
        <v>1755</v>
      </c>
      <c r="G107" t="s">
        <v>74</v>
      </c>
      <c r="H107" t="s">
        <v>74</v>
      </c>
      <c r="I107" t="s">
        <v>1757</v>
      </c>
      <c r="J107" t="s">
        <v>1758</v>
      </c>
      <c r="K107" t="s">
        <v>220</v>
      </c>
      <c r="L107" t="s">
        <v>74</v>
      </c>
      <c r="M107" t="s">
        <v>77</v>
      </c>
      <c r="N107" t="s">
        <v>123</v>
      </c>
      <c r="O107" t="s">
        <v>1759</v>
      </c>
      <c r="P107" t="s">
        <v>222</v>
      </c>
      <c r="Q107" t="s">
        <v>223</v>
      </c>
      <c r="R107" t="s">
        <v>74</v>
      </c>
      <c r="S107" t="s">
        <v>74</v>
      </c>
      <c r="T107" t="s">
        <v>74</v>
      </c>
      <c r="U107" t="s">
        <v>74</v>
      </c>
      <c r="V107" t="s">
        <v>1760</v>
      </c>
      <c r="W107" t="s">
        <v>1761</v>
      </c>
      <c r="X107" t="s">
        <v>1762</v>
      </c>
      <c r="Y107" t="s">
        <v>1763</v>
      </c>
      <c r="Z107" t="s">
        <v>74</v>
      </c>
      <c r="AA107" t="s">
        <v>1764</v>
      </c>
      <c r="AB107" t="s">
        <v>1765</v>
      </c>
      <c r="AC107" t="s">
        <v>74</v>
      </c>
      <c r="AD107" t="s">
        <v>74</v>
      </c>
      <c r="AE107" t="s">
        <v>74</v>
      </c>
      <c r="AF107" t="s">
        <v>74</v>
      </c>
      <c r="AG107">
        <v>9</v>
      </c>
      <c r="AH107">
        <v>12</v>
      </c>
      <c r="AI107">
        <v>16</v>
      </c>
      <c r="AJ107">
        <v>1</v>
      </c>
      <c r="AK107">
        <v>5</v>
      </c>
      <c r="AL107" t="s">
        <v>228</v>
      </c>
      <c r="AM107" t="s">
        <v>229</v>
      </c>
      <c r="AN107" t="s">
        <v>230</v>
      </c>
      <c r="AO107" t="s">
        <v>231</v>
      </c>
      <c r="AP107" t="s">
        <v>74</v>
      </c>
      <c r="AQ107" t="s">
        <v>74</v>
      </c>
      <c r="AR107" t="s">
        <v>232</v>
      </c>
      <c r="AS107" t="s">
        <v>74</v>
      </c>
      <c r="AT107" t="s">
        <v>74</v>
      </c>
      <c r="AU107">
        <v>1999</v>
      </c>
      <c r="AV107">
        <v>23</v>
      </c>
      <c r="AW107">
        <v>2</v>
      </c>
      <c r="AX107" t="s">
        <v>74</v>
      </c>
      <c r="AY107" t="s">
        <v>74</v>
      </c>
      <c r="AZ107" t="s">
        <v>74</v>
      </c>
      <c r="BA107" t="s">
        <v>74</v>
      </c>
      <c r="BB107">
        <v>371</v>
      </c>
      <c r="BC107">
        <v>376</v>
      </c>
      <c r="BD107" t="s">
        <v>74</v>
      </c>
      <c r="BE107" t="s">
        <v>1766</v>
      </c>
      <c r="BF107" t="str">
        <f>HYPERLINK("http://dx.doi.org/10.1016/S0273-1177(99)00058-7","http://dx.doi.org/10.1016/S0273-1177(99)00058-7")</f>
        <v>http://dx.doi.org/10.1016/S0273-1177(99)00058-7</v>
      </c>
      <c r="BG107" t="s">
        <v>74</v>
      </c>
      <c r="BH107" t="s">
        <v>74</v>
      </c>
      <c r="BI107">
        <v>6</v>
      </c>
      <c r="BJ107" t="s">
        <v>1244</v>
      </c>
      <c r="BK107" t="s">
        <v>235</v>
      </c>
      <c r="BL107" t="s">
        <v>1245</v>
      </c>
      <c r="BM107" t="s">
        <v>1767</v>
      </c>
      <c r="BN107" t="s">
        <v>74</v>
      </c>
      <c r="BO107" t="s">
        <v>74</v>
      </c>
      <c r="BP107" t="s">
        <v>74</v>
      </c>
      <c r="BQ107" t="s">
        <v>74</v>
      </c>
      <c r="BR107" t="s">
        <v>98</v>
      </c>
      <c r="BS107" t="s">
        <v>1768</v>
      </c>
      <c r="BT107" t="str">
        <f>HYPERLINK("https%3A%2F%2Fwww.webofscience.com%2Fwos%2Fwoscc%2Ffull-record%2FWOS:000080760700013","View Full Record in Web of Science")</f>
        <v>View Full Record in Web of Science</v>
      </c>
    </row>
    <row r="108" spans="1:72" x14ac:dyDescent="0.15">
      <c r="A108" t="s">
        <v>72</v>
      </c>
      <c r="B108" t="s">
        <v>1769</v>
      </c>
      <c r="C108" t="s">
        <v>74</v>
      </c>
      <c r="D108" t="s">
        <v>74</v>
      </c>
      <c r="E108" t="s">
        <v>74</v>
      </c>
      <c r="F108" t="s">
        <v>1769</v>
      </c>
      <c r="G108" t="s">
        <v>74</v>
      </c>
      <c r="H108" t="s">
        <v>74</v>
      </c>
      <c r="I108" t="s">
        <v>1770</v>
      </c>
      <c r="J108" t="s">
        <v>1771</v>
      </c>
      <c r="K108" t="s">
        <v>74</v>
      </c>
      <c r="L108" t="s">
        <v>74</v>
      </c>
      <c r="M108" t="s">
        <v>77</v>
      </c>
      <c r="N108" t="s">
        <v>103</v>
      </c>
      <c r="O108" t="s">
        <v>74</v>
      </c>
      <c r="P108" t="s">
        <v>74</v>
      </c>
      <c r="Q108" t="s">
        <v>74</v>
      </c>
      <c r="R108" t="s">
        <v>74</v>
      </c>
      <c r="S108" t="s">
        <v>74</v>
      </c>
      <c r="T108" t="s">
        <v>74</v>
      </c>
      <c r="U108" t="s">
        <v>1772</v>
      </c>
      <c r="V108" t="s">
        <v>1773</v>
      </c>
      <c r="W108" t="s">
        <v>1774</v>
      </c>
      <c r="X108" t="s">
        <v>509</v>
      </c>
      <c r="Y108" t="s">
        <v>1775</v>
      </c>
      <c r="Z108" t="s">
        <v>74</v>
      </c>
      <c r="AA108" t="s">
        <v>1776</v>
      </c>
      <c r="AB108" t="s">
        <v>1777</v>
      </c>
      <c r="AC108" t="s">
        <v>74</v>
      </c>
      <c r="AD108" t="s">
        <v>74</v>
      </c>
      <c r="AE108" t="s">
        <v>74</v>
      </c>
      <c r="AF108" t="s">
        <v>74</v>
      </c>
      <c r="AG108">
        <v>34</v>
      </c>
      <c r="AH108">
        <v>44</v>
      </c>
      <c r="AI108">
        <v>52</v>
      </c>
      <c r="AJ108">
        <v>0</v>
      </c>
      <c r="AK108">
        <v>7</v>
      </c>
      <c r="AL108" t="s">
        <v>655</v>
      </c>
      <c r="AM108" t="s">
        <v>656</v>
      </c>
      <c r="AN108" t="s">
        <v>657</v>
      </c>
      <c r="AO108" t="s">
        <v>1778</v>
      </c>
      <c r="AP108" t="s">
        <v>1779</v>
      </c>
      <c r="AQ108" t="s">
        <v>74</v>
      </c>
      <c r="AR108" t="s">
        <v>1780</v>
      </c>
      <c r="AS108" t="s">
        <v>1781</v>
      </c>
      <c r="AT108" t="s">
        <v>143</v>
      </c>
      <c r="AU108">
        <v>1999</v>
      </c>
      <c r="AV108">
        <v>44</v>
      </c>
      <c r="AW108">
        <v>1</v>
      </c>
      <c r="AX108" t="s">
        <v>74</v>
      </c>
      <c r="AY108" t="s">
        <v>74</v>
      </c>
      <c r="AZ108" t="s">
        <v>74</v>
      </c>
      <c r="BA108" t="s">
        <v>74</v>
      </c>
      <c r="BB108">
        <v>220</v>
      </c>
      <c r="BC108">
        <v>224</v>
      </c>
      <c r="BD108" t="s">
        <v>74</v>
      </c>
      <c r="BE108" t="s">
        <v>1782</v>
      </c>
      <c r="BF108" t="str">
        <f>HYPERLINK("http://dx.doi.org/10.4319/lo.1999.44.1.0220","http://dx.doi.org/10.4319/lo.1999.44.1.0220")</f>
        <v>http://dx.doi.org/10.4319/lo.1999.44.1.0220</v>
      </c>
      <c r="BG108" t="s">
        <v>74</v>
      </c>
      <c r="BH108" t="s">
        <v>74</v>
      </c>
      <c r="BI108">
        <v>5</v>
      </c>
      <c r="BJ108" t="s">
        <v>1783</v>
      </c>
      <c r="BK108" t="s">
        <v>95</v>
      </c>
      <c r="BL108" t="s">
        <v>1128</v>
      </c>
      <c r="BM108" t="s">
        <v>1784</v>
      </c>
      <c r="BN108" t="s">
        <v>74</v>
      </c>
      <c r="BO108" t="s">
        <v>1089</v>
      </c>
      <c r="BP108" t="s">
        <v>74</v>
      </c>
      <c r="BQ108" t="s">
        <v>74</v>
      </c>
      <c r="BR108" t="s">
        <v>98</v>
      </c>
      <c r="BS108" t="s">
        <v>1785</v>
      </c>
      <c r="BT108" t="str">
        <f>HYPERLINK("https%3A%2F%2Fwww.webofscience.com%2Fwos%2Fwoscc%2Ffull-record%2FWOS:000078378300020","View Full Record in Web of Science")</f>
        <v>View Full Record in Web of Science</v>
      </c>
    </row>
    <row r="109" spans="1:72" x14ac:dyDescent="0.15">
      <c r="A109" t="s">
        <v>72</v>
      </c>
      <c r="B109" t="s">
        <v>1786</v>
      </c>
      <c r="C109" t="s">
        <v>74</v>
      </c>
      <c r="D109" t="s">
        <v>74</v>
      </c>
      <c r="E109" t="s">
        <v>74</v>
      </c>
      <c r="F109" t="s">
        <v>1786</v>
      </c>
      <c r="G109" t="s">
        <v>74</v>
      </c>
      <c r="H109" t="s">
        <v>74</v>
      </c>
      <c r="I109" t="s">
        <v>1787</v>
      </c>
      <c r="J109" t="s">
        <v>1788</v>
      </c>
      <c r="K109" t="s">
        <v>74</v>
      </c>
      <c r="L109" t="s">
        <v>74</v>
      </c>
      <c r="M109" t="s">
        <v>77</v>
      </c>
      <c r="N109" t="s">
        <v>103</v>
      </c>
      <c r="O109" t="s">
        <v>74</v>
      </c>
      <c r="P109" t="s">
        <v>74</v>
      </c>
      <c r="Q109" t="s">
        <v>74</v>
      </c>
      <c r="R109" t="s">
        <v>74</v>
      </c>
      <c r="S109" t="s">
        <v>74</v>
      </c>
      <c r="T109" t="s">
        <v>74</v>
      </c>
      <c r="U109" t="s">
        <v>1789</v>
      </c>
      <c r="V109" t="s">
        <v>1790</v>
      </c>
      <c r="W109" t="s">
        <v>1791</v>
      </c>
      <c r="X109" t="s">
        <v>509</v>
      </c>
      <c r="Y109" t="s">
        <v>1792</v>
      </c>
      <c r="Z109" t="s">
        <v>1793</v>
      </c>
      <c r="AA109" t="s">
        <v>74</v>
      </c>
      <c r="AB109" t="s">
        <v>74</v>
      </c>
      <c r="AC109" t="s">
        <v>74</v>
      </c>
      <c r="AD109" t="s">
        <v>74</v>
      </c>
      <c r="AE109" t="s">
        <v>74</v>
      </c>
      <c r="AF109" t="s">
        <v>74</v>
      </c>
      <c r="AG109">
        <v>42</v>
      </c>
      <c r="AH109">
        <v>16</v>
      </c>
      <c r="AI109">
        <v>17</v>
      </c>
      <c r="AJ109">
        <v>0</v>
      </c>
      <c r="AK109">
        <v>5</v>
      </c>
      <c r="AL109" t="s">
        <v>1794</v>
      </c>
      <c r="AM109" t="s">
        <v>1795</v>
      </c>
      <c r="AN109" t="s">
        <v>1796</v>
      </c>
      <c r="AO109" t="s">
        <v>1797</v>
      </c>
      <c r="AP109" t="s">
        <v>74</v>
      </c>
      <c r="AQ109" t="s">
        <v>74</v>
      </c>
      <c r="AR109" t="s">
        <v>1788</v>
      </c>
      <c r="AS109" t="s">
        <v>1798</v>
      </c>
      <c r="AT109" t="s">
        <v>143</v>
      </c>
      <c r="AU109">
        <v>1999</v>
      </c>
      <c r="AV109">
        <v>34</v>
      </c>
      <c r="AW109">
        <v>1</v>
      </c>
      <c r="AX109" t="s">
        <v>74</v>
      </c>
      <c r="AY109" t="s">
        <v>74</v>
      </c>
      <c r="AZ109" t="s">
        <v>74</v>
      </c>
      <c r="BA109" t="s">
        <v>74</v>
      </c>
      <c r="BB109">
        <v>45</v>
      </c>
      <c r="BC109">
        <v>51</v>
      </c>
      <c r="BD109" t="s">
        <v>74</v>
      </c>
      <c r="BE109" t="s">
        <v>1799</v>
      </c>
      <c r="BF109" t="str">
        <f>HYPERLINK("http://dx.doi.org/10.1007/s11745-999-336-1","http://dx.doi.org/10.1007/s11745-999-336-1")</f>
        <v>http://dx.doi.org/10.1007/s11745-999-336-1</v>
      </c>
      <c r="BG109" t="s">
        <v>74</v>
      </c>
      <c r="BH109" t="s">
        <v>74</v>
      </c>
      <c r="BI109">
        <v>7</v>
      </c>
      <c r="BJ109" t="s">
        <v>1800</v>
      </c>
      <c r="BK109" t="s">
        <v>95</v>
      </c>
      <c r="BL109" t="s">
        <v>1800</v>
      </c>
      <c r="BM109" t="s">
        <v>1801</v>
      </c>
      <c r="BN109">
        <v>10188596</v>
      </c>
      <c r="BO109" t="s">
        <v>74</v>
      </c>
      <c r="BP109" t="s">
        <v>74</v>
      </c>
      <c r="BQ109" t="s">
        <v>74</v>
      </c>
      <c r="BR109" t="s">
        <v>98</v>
      </c>
      <c r="BS109" t="s">
        <v>1802</v>
      </c>
      <c r="BT109" t="str">
        <f>HYPERLINK("https%3A%2F%2Fwww.webofscience.com%2Fwos%2Fwoscc%2Ffull-record%2FWOS:000078635200007","View Full Record in Web of Science")</f>
        <v>View Full Record in Web of Science</v>
      </c>
    </row>
    <row r="110" spans="1:72" x14ac:dyDescent="0.15">
      <c r="A110" t="s">
        <v>147</v>
      </c>
      <c r="B110" t="s">
        <v>1803</v>
      </c>
      <c r="C110" t="s">
        <v>74</v>
      </c>
      <c r="D110" t="s">
        <v>1804</v>
      </c>
      <c r="E110" t="s">
        <v>74</v>
      </c>
      <c r="F110" t="s">
        <v>1803</v>
      </c>
      <c r="G110" t="s">
        <v>74</v>
      </c>
      <c r="H110" t="s">
        <v>74</v>
      </c>
      <c r="I110" t="s">
        <v>1805</v>
      </c>
      <c r="J110" t="s">
        <v>1806</v>
      </c>
      <c r="K110" t="s">
        <v>1807</v>
      </c>
      <c r="L110" t="s">
        <v>74</v>
      </c>
      <c r="M110" t="s">
        <v>77</v>
      </c>
      <c r="N110" t="s">
        <v>153</v>
      </c>
      <c r="O110" t="s">
        <v>1808</v>
      </c>
      <c r="P110" t="s">
        <v>1809</v>
      </c>
      <c r="Q110" t="s">
        <v>1810</v>
      </c>
      <c r="R110" t="s">
        <v>74</v>
      </c>
      <c r="S110" t="s">
        <v>1811</v>
      </c>
      <c r="T110" t="s">
        <v>74</v>
      </c>
      <c r="U110" t="s">
        <v>1812</v>
      </c>
      <c r="V110" t="s">
        <v>1813</v>
      </c>
      <c r="W110" t="s">
        <v>1814</v>
      </c>
      <c r="X110" t="s">
        <v>1815</v>
      </c>
      <c r="Y110" t="s">
        <v>1816</v>
      </c>
      <c r="Z110" t="s">
        <v>74</v>
      </c>
      <c r="AA110" t="s">
        <v>74</v>
      </c>
      <c r="AB110" t="s">
        <v>1817</v>
      </c>
      <c r="AC110" t="s">
        <v>74</v>
      </c>
      <c r="AD110" t="s">
        <v>74</v>
      </c>
      <c r="AE110" t="s">
        <v>74</v>
      </c>
      <c r="AF110" t="s">
        <v>74</v>
      </c>
      <c r="AG110">
        <v>10</v>
      </c>
      <c r="AH110">
        <v>1</v>
      </c>
      <c r="AI110">
        <v>1</v>
      </c>
      <c r="AJ110">
        <v>0</v>
      </c>
      <c r="AK110">
        <v>0</v>
      </c>
      <c r="AL110" t="s">
        <v>1146</v>
      </c>
      <c r="AM110" t="s">
        <v>1147</v>
      </c>
      <c r="AN110" t="s">
        <v>1148</v>
      </c>
      <c r="AO110" t="s">
        <v>74</v>
      </c>
      <c r="AP110" t="s">
        <v>74</v>
      </c>
      <c r="AQ110" t="s">
        <v>1818</v>
      </c>
      <c r="AR110" t="s">
        <v>1819</v>
      </c>
      <c r="AS110" t="s">
        <v>74</v>
      </c>
      <c r="AT110" t="s">
        <v>74</v>
      </c>
      <c r="AU110">
        <v>1999</v>
      </c>
      <c r="AV110" t="s">
        <v>74</v>
      </c>
      <c r="AW110" t="s">
        <v>74</v>
      </c>
      <c r="AX110" t="s">
        <v>74</v>
      </c>
      <c r="AY110" t="s">
        <v>74</v>
      </c>
      <c r="AZ110" t="s">
        <v>74</v>
      </c>
      <c r="BA110" t="s">
        <v>74</v>
      </c>
      <c r="BB110">
        <v>201</v>
      </c>
      <c r="BC110">
        <v>208</v>
      </c>
      <c r="BD110" t="s">
        <v>74</v>
      </c>
      <c r="BE110" t="s">
        <v>74</v>
      </c>
      <c r="BF110" t="s">
        <v>74</v>
      </c>
      <c r="BG110" t="s">
        <v>74</v>
      </c>
      <c r="BH110" t="s">
        <v>74</v>
      </c>
      <c r="BI110">
        <v>8</v>
      </c>
      <c r="BJ110" t="s">
        <v>1464</v>
      </c>
      <c r="BK110" t="s">
        <v>171</v>
      </c>
      <c r="BL110" t="s">
        <v>1464</v>
      </c>
      <c r="BM110" t="s">
        <v>1820</v>
      </c>
      <c r="BN110" t="s">
        <v>74</v>
      </c>
      <c r="BO110" t="s">
        <v>483</v>
      </c>
      <c r="BP110" t="s">
        <v>74</v>
      </c>
      <c r="BQ110" t="s">
        <v>74</v>
      </c>
      <c r="BR110" t="s">
        <v>98</v>
      </c>
      <c r="BS110" t="s">
        <v>1821</v>
      </c>
      <c r="BT110" t="str">
        <f>HYPERLINK("https%3A%2F%2Fwww.webofscience.com%2Fwos%2Fwoscc%2Ffull-record%2FWOS:000085467500037","View Full Record in Web of Science")</f>
        <v>View Full Record in Web of Science</v>
      </c>
    </row>
    <row r="111" spans="1:72" x14ac:dyDescent="0.15">
      <c r="A111" t="s">
        <v>72</v>
      </c>
      <c r="B111" t="s">
        <v>1822</v>
      </c>
      <c r="C111" t="s">
        <v>74</v>
      </c>
      <c r="D111" t="s">
        <v>74</v>
      </c>
      <c r="E111" t="s">
        <v>74</v>
      </c>
      <c r="F111" t="s">
        <v>1822</v>
      </c>
      <c r="G111" t="s">
        <v>74</v>
      </c>
      <c r="H111" t="s">
        <v>74</v>
      </c>
      <c r="I111" t="s">
        <v>1823</v>
      </c>
      <c r="J111" t="s">
        <v>1824</v>
      </c>
      <c r="K111" t="s">
        <v>74</v>
      </c>
      <c r="L111" t="s">
        <v>74</v>
      </c>
      <c r="M111" t="s">
        <v>77</v>
      </c>
      <c r="N111" t="s">
        <v>78</v>
      </c>
      <c r="O111" t="s">
        <v>74</v>
      </c>
      <c r="P111" t="s">
        <v>74</v>
      </c>
      <c r="Q111" t="s">
        <v>74</v>
      </c>
      <c r="R111" t="s">
        <v>74</v>
      </c>
      <c r="S111" t="s">
        <v>74</v>
      </c>
      <c r="T111" t="s">
        <v>74</v>
      </c>
      <c r="U111" t="s">
        <v>1825</v>
      </c>
      <c r="V111" t="s">
        <v>1826</v>
      </c>
      <c r="W111" t="s">
        <v>1827</v>
      </c>
      <c r="X111" t="s">
        <v>1828</v>
      </c>
      <c r="Y111" t="s">
        <v>1829</v>
      </c>
      <c r="Z111" t="s">
        <v>1830</v>
      </c>
      <c r="AA111" t="s">
        <v>74</v>
      </c>
      <c r="AB111" t="s">
        <v>74</v>
      </c>
      <c r="AC111" t="s">
        <v>74</v>
      </c>
      <c r="AD111" t="s">
        <v>74</v>
      </c>
      <c r="AE111" t="s">
        <v>74</v>
      </c>
      <c r="AF111" t="s">
        <v>74</v>
      </c>
      <c r="AG111">
        <v>113</v>
      </c>
      <c r="AH111">
        <v>96</v>
      </c>
      <c r="AI111">
        <v>116</v>
      </c>
      <c r="AJ111">
        <v>2</v>
      </c>
      <c r="AK111">
        <v>73</v>
      </c>
      <c r="AL111" t="s">
        <v>86</v>
      </c>
      <c r="AM111" t="s">
        <v>87</v>
      </c>
      <c r="AN111" t="s">
        <v>88</v>
      </c>
      <c r="AO111" t="s">
        <v>1831</v>
      </c>
      <c r="AP111" t="s">
        <v>1832</v>
      </c>
      <c r="AQ111" t="s">
        <v>74</v>
      </c>
      <c r="AR111" t="s">
        <v>1833</v>
      </c>
      <c r="AS111" t="s">
        <v>1834</v>
      </c>
      <c r="AT111" t="s">
        <v>74</v>
      </c>
      <c r="AU111">
        <v>1999</v>
      </c>
      <c r="AV111">
        <v>50</v>
      </c>
      <c r="AW111">
        <v>8</v>
      </c>
      <c r="AX111" t="s">
        <v>74</v>
      </c>
      <c r="AY111" t="s">
        <v>74</v>
      </c>
      <c r="AZ111" t="s">
        <v>1835</v>
      </c>
      <c r="BA111" t="s">
        <v>74</v>
      </c>
      <c r="BB111">
        <v>879</v>
      </c>
      <c r="BC111">
        <v>896</v>
      </c>
      <c r="BD111" t="s">
        <v>74</v>
      </c>
      <c r="BE111" t="s">
        <v>1836</v>
      </c>
      <c r="BF111" t="str">
        <f>HYPERLINK("http://dx.doi.org/10.1071/MF99109","http://dx.doi.org/10.1071/MF99109")</f>
        <v>http://dx.doi.org/10.1071/MF99109</v>
      </c>
      <c r="BG111" t="s">
        <v>74</v>
      </c>
      <c r="BH111" t="s">
        <v>74</v>
      </c>
      <c r="BI111">
        <v>18</v>
      </c>
      <c r="BJ111" t="s">
        <v>1837</v>
      </c>
      <c r="BK111" t="s">
        <v>95</v>
      </c>
      <c r="BL111" t="s">
        <v>1746</v>
      </c>
      <c r="BM111" t="s">
        <v>1838</v>
      </c>
      <c r="BN111" t="s">
        <v>74</v>
      </c>
      <c r="BO111" t="s">
        <v>74</v>
      </c>
      <c r="BP111" t="s">
        <v>74</v>
      </c>
      <c r="BQ111" t="s">
        <v>74</v>
      </c>
      <c r="BR111" t="s">
        <v>98</v>
      </c>
      <c r="BS111" t="s">
        <v>1839</v>
      </c>
      <c r="BT111" t="str">
        <f>HYPERLINK("https%3A%2F%2Fwww.webofscience.com%2Fwos%2Fwoscc%2Ffull-record%2FWOS:000083848700014","View Full Record in Web of Science")</f>
        <v>View Full Record in Web of Science</v>
      </c>
    </row>
    <row r="112" spans="1:72" x14ac:dyDescent="0.15">
      <c r="A112" t="s">
        <v>72</v>
      </c>
      <c r="B112" t="s">
        <v>1840</v>
      </c>
      <c r="C112" t="s">
        <v>74</v>
      </c>
      <c r="D112" t="s">
        <v>74</v>
      </c>
      <c r="E112" t="s">
        <v>74</v>
      </c>
      <c r="F112" t="s">
        <v>1840</v>
      </c>
      <c r="G112" t="s">
        <v>74</v>
      </c>
      <c r="H112" t="s">
        <v>74</v>
      </c>
      <c r="I112" t="s">
        <v>1841</v>
      </c>
      <c r="J112" t="s">
        <v>1842</v>
      </c>
      <c r="K112" t="s">
        <v>74</v>
      </c>
      <c r="L112" t="s">
        <v>74</v>
      </c>
      <c r="M112" t="s">
        <v>77</v>
      </c>
      <c r="N112" t="s">
        <v>103</v>
      </c>
      <c r="O112" t="s">
        <v>74</v>
      </c>
      <c r="P112" t="s">
        <v>74</v>
      </c>
      <c r="Q112" t="s">
        <v>74</v>
      </c>
      <c r="R112" t="s">
        <v>74</v>
      </c>
      <c r="S112" t="s">
        <v>74</v>
      </c>
      <c r="T112" t="s">
        <v>74</v>
      </c>
      <c r="U112" t="s">
        <v>1843</v>
      </c>
      <c r="V112" t="s">
        <v>1844</v>
      </c>
      <c r="W112" t="s">
        <v>1845</v>
      </c>
      <c r="X112" t="s">
        <v>1846</v>
      </c>
      <c r="Y112" t="s">
        <v>1847</v>
      </c>
      <c r="Z112" t="s">
        <v>74</v>
      </c>
      <c r="AA112" t="s">
        <v>74</v>
      </c>
      <c r="AB112" t="s">
        <v>74</v>
      </c>
      <c r="AC112" t="s">
        <v>74</v>
      </c>
      <c r="AD112" t="s">
        <v>74</v>
      </c>
      <c r="AE112" t="s">
        <v>74</v>
      </c>
      <c r="AF112" t="s">
        <v>74</v>
      </c>
      <c r="AG112">
        <v>59</v>
      </c>
      <c r="AH112">
        <v>72</v>
      </c>
      <c r="AI112">
        <v>82</v>
      </c>
      <c r="AJ112">
        <v>1</v>
      </c>
      <c r="AK112">
        <v>34</v>
      </c>
      <c r="AL112" t="s">
        <v>887</v>
      </c>
      <c r="AM112" t="s">
        <v>278</v>
      </c>
      <c r="AN112" t="s">
        <v>888</v>
      </c>
      <c r="AO112" t="s">
        <v>1848</v>
      </c>
      <c r="AP112" t="s">
        <v>74</v>
      </c>
      <c r="AQ112" t="s">
        <v>74</v>
      </c>
      <c r="AR112" t="s">
        <v>1849</v>
      </c>
      <c r="AS112" t="s">
        <v>1850</v>
      </c>
      <c r="AT112" t="s">
        <v>143</v>
      </c>
      <c r="AU112">
        <v>1999</v>
      </c>
      <c r="AV112">
        <v>133</v>
      </c>
      <c r="AW112">
        <v>1</v>
      </c>
      <c r="AX112" t="s">
        <v>74</v>
      </c>
      <c r="AY112" t="s">
        <v>74</v>
      </c>
      <c r="AZ112" t="s">
        <v>74</v>
      </c>
      <c r="BA112" t="s">
        <v>74</v>
      </c>
      <c r="BB112">
        <v>145</v>
      </c>
      <c r="BC112">
        <v>158</v>
      </c>
      <c r="BD112" t="s">
        <v>74</v>
      </c>
      <c r="BE112" t="s">
        <v>1851</v>
      </c>
      <c r="BF112" t="str">
        <f>HYPERLINK("http://dx.doi.org/10.1007/s002270050453","http://dx.doi.org/10.1007/s002270050453")</f>
        <v>http://dx.doi.org/10.1007/s002270050453</v>
      </c>
      <c r="BG112" t="s">
        <v>74</v>
      </c>
      <c r="BH112" t="s">
        <v>74</v>
      </c>
      <c r="BI112">
        <v>14</v>
      </c>
      <c r="BJ112" t="s">
        <v>212</v>
      </c>
      <c r="BK112" t="s">
        <v>95</v>
      </c>
      <c r="BL112" t="s">
        <v>212</v>
      </c>
      <c r="BM112" t="s">
        <v>1852</v>
      </c>
      <c r="BN112" t="s">
        <v>74</v>
      </c>
      <c r="BO112" t="s">
        <v>74</v>
      </c>
      <c r="BP112" t="s">
        <v>74</v>
      </c>
      <c r="BQ112" t="s">
        <v>74</v>
      </c>
      <c r="BR112" t="s">
        <v>98</v>
      </c>
      <c r="BS112" t="s">
        <v>1853</v>
      </c>
      <c r="BT112" t="str">
        <f>HYPERLINK("https%3A%2F%2Fwww.webofscience.com%2Fwos%2Fwoscc%2Ffull-record%2FWOS:000078634000018","View Full Record in Web of Science")</f>
        <v>View Full Record in Web of Science</v>
      </c>
    </row>
    <row r="113" spans="1:72" x14ac:dyDescent="0.15">
      <c r="A113" t="s">
        <v>72</v>
      </c>
      <c r="B113" t="s">
        <v>1854</v>
      </c>
      <c r="C113" t="s">
        <v>74</v>
      </c>
      <c r="D113" t="s">
        <v>74</v>
      </c>
      <c r="E113" t="s">
        <v>74</v>
      </c>
      <c r="F113" t="s">
        <v>1854</v>
      </c>
      <c r="G113" t="s">
        <v>74</v>
      </c>
      <c r="H113" t="s">
        <v>74</v>
      </c>
      <c r="I113" t="s">
        <v>1855</v>
      </c>
      <c r="J113" t="s">
        <v>1856</v>
      </c>
      <c r="K113" t="s">
        <v>74</v>
      </c>
      <c r="L113" t="s">
        <v>74</v>
      </c>
      <c r="M113" t="s">
        <v>77</v>
      </c>
      <c r="N113" t="s">
        <v>103</v>
      </c>
      <c r="O113" t="s">
        <v>74</v>
      </c>
      <c r="P113" t="s">
        <v>74</v>
      </c>
      <c r="Q113" t="s">
        <v>74</v>
      </c>
      <c r="R113" t="s">
        <v>74</v>
      </c>
      <c r="S113" t="s">
        <v>74</v>
      </c>
      <c r="T113" t="s">
        <v>1857</v>
      </c>
      <c r="U113" t="s">
        <v>1858</v>
      </c>
      <c r="V113" t="s">
        <v>1859</v>
      </c>
      <c r="W113" t="s">
        <v>1860</v>
      </c>
      <c r="X113" t="s">
        <v>1861</v>
      </c>
      <c r="Y113" t="s">
        <v>1862</v>
      </c>
      <c r="Z113" t="s">
        <v>1863</v>
      </c>
      <c r="AA113" t="s">
        <v>1864</v>
      </c>
      <c r="AB113" t="s">
        <v>1865</v>
      </c>
      <c r="AC113" t="s">
        <v>74</v>
      </c>
      <c r="AD113" t="s">
        <v>74</v>
      </c>
      <c r="AE113" t="s">
        <v>74</v>
      </c>
      <c r="AF113" t="s">
        <v>74</v>
      </c>
      <c r="AG113">
        <v>98</v>
      </c>
      <c r="AH113">
        <v>54</v>
      </c>
      <c r="AI113">
        <v>56</v>
      </c>
      <c r="AJ113">
        <v>1</v>
      </c>
      <c r="AK113">
        <v>13</v>
      </c>
      <c r="AL113" t="s">
        <v>1866</v>
      </c>
      <c r="AM113" t="s">
        <v>1867</v>
      </c>
      <c r="AN113" t="s">
        <v>1868</v>
      </c>
      <c r="AO113" t="s">
        <v>1869</v>
      </c>
      <c r="AP113" t="s">
        <v>1870</v>
      </c>
      <c r="AQ113" t="s">
        <v>74</v>
      </c>
      <c r="AR113" t="s">
        <v>1871</v>
      </c>
      <c r="AS113" t="s">
        <v>1872</v>
      </c>
      <c r="AT113" t="s">
        <v>74</v>
      </c>
      <c r="AU113">
        <v>1999</v>
      </c>
      <c r="AV113">
        <v>190</v>
      </c>
      <c r="AW113" t="s">
        <v>74</v>
      </c>
      <c r="AX113" t="s">
        <v>74</v>
      </c>
      <c r="AY113" t="s">
        <v>74</v>
      </c>
      <c r="AZ113" t="s">
        <v>74</v>
      </c>
      <c r="BA113" t="s">
        <v>74</v>
      </c>
      <c r="BB113">
        <v>1</v>
      </c>
      <c r="BC113">
        <v>16</v>
      </c>
      <c r="BD113" t="s">
        <v>74</v>
      </c>
      <c r="BE113" t="s">
        <v>1873</v>
      </c>
      <c r="BF113" t="str">
        <f>HYPERLINK("http://dx.doi.org/10.3354/meps190001","http://dx.doi.org/10.3354/meps190001")</f>
        <v>http://dx.doi.org/10.3354/meps190001</v>
      </c>
      <c r="BG113" t="s">
        <v>74</v>
      </c>
      <c r="BH113" t="s">
        <v>74</v>
      </c>
      <c r="BI113">
        <v>16</v>
      </c>
      <c r="BJ113" t="s">
        <v>1874</v>
      </c>
      <c r="BK113" t="s">
        <v>95</v>
      </c>
      <c r="BL113" t="s">
        <v>1875</v>
      </c>
      <c r="BM113" t="s">
        <v>1876</v>
      </c>
      <c r="BN113" t="s">
        <v>74</v>
      </c>
      <c r="BO113" t="s">
        <v>1089</v>
      </c>
      <c r="BP113" t="s">
        <v>74</v>
      </c>
      <c r="BQ113" t="s">
        <v>74</v>
      </c>
      <c r="BR113" t="s">
        <v>98</v>
      </c>
      <c r="BS113" t="s">
        <v>1877</v>
      </c>
      <c r="BT113" t="str">
        <f>HYPERLINK("https%3A%2F%2Fwww.webofscience.com%2Fwos%2Fwoscc%2Ffull-record%2FWOS:000084553000001","View Full Record in Web of Science")</f>
        <v>View Full Record in Web of Science</v>
      </c>
    </row>
    <row r="114" spans="1:72" x14ac:dyDescent="0.15">
      <c r="A114" t="s">
        <v>72</v>
      </c>
      <c r="B114" t="s">
        <v>1878</v>
      </c>
      <c r="C114" t="s">
        <v>74</v>
      </c>
      <c r="D114" t="s">
        <v>74</v>
      </c>
      <c r="E114" t="s">
        <v>74</v>
      </c>
      <c r="F114" t="s">
        <v>1878</v>
      </c>
      <c r="G114" t="s">
        <v>74</v>
      </c>
      <c r="H114" t="s">
        <v>74</v>
      </c>
      <c r="I114" t="s">
        <v>1879</v>
      </c>
      <c r="J114" t="s">
        <v>1856</v>
      </c>
      <c r="K114" t="s">
        <v>74</v>
      </c>
      <c r="L114" t="s">
        <v>74</v>
      </c>
      <c r="M114" t="s">
        <v>77</v>
      </c>
      <c r="N114" t="s">
        <v>103</v>
      </c>
      <c r="O114" t="s">
        <v>74</v>
      </c>
      <c r="P114" t="s">
        <v>74</v>
      </c>
      <c r="Q114" t="s">
        <v>74</v>
      </c>
      <c r="R114" t="s">
        <v>74</v>
      </c>
      <c r="S114" t="s">
        <v>74</v>
      </c>
      <c r="T114" t="s">
        <v>1880</v>
      </c>
      <c r="U114" t="s">
        <v>1881</v>
      </c>
      <c r="V114" t="s">
        <v>1882</v>
      </c>
      <c r="W114" t="s">
        <v>1883</v>
      </c>
      <c r="X114" t="s">
        <v>1884</v>
      </c>
      <c r="Y114" t="s">
        <v>1885</v>
      </c>
      <c r="Z114" t="s">
        <v>1886</v>
      </c>
      <c r="AA114" t="s">
        <v>74</v>
      </c>
      <c r="AB114" t="s">
        <v>74</v>
      </c>
      <c r="AC114" t="s">
        <v>74</v>
      </c>
      <c r="AD114" t="s">
        <v>74</v>
      </c>
      <c r="AE114" t="s">
        <v>74</v>
      </c>
      <c r="AF114" t="s">
        <v>74</v>
      </c>
      <c r="AG114">
        <v>53</v>
      </c>
      <c r="AH114">
        <v>17</v>
      </c>
      <c r="AI114">
        <v>17</v>
      </c>
      <c r="AJ114">
        <v>0</v>
      </c>
      <c r="AK114">
        <v>9</v>
      </c>
      <c r="AL114" t="s">
        <v>1866</v>
      </c>
      <c r="AM114" t="s">
        <v>1867</v>
      </c>
      <c r="AN114" t="s">
        <v>1868</v>
      </c>
      <c r="AO114" t="s">
        <v>1869</v>
      </c>
      <c r="AP114" t="s">
        <v>74</v>
      </c>
      <c r="AQ114" t="s">
        <v>74</v>
      </c>
      <c r="AR114" t="s">
        <v>1871</v>
      </c>
      <c r="AS114" t="s">
        <v>1872</v>
      </c>
      <c r="AT114" t="s">
        <v>74</v>
      </c>
      <c r="AU114">
        <v>1999</v>
      </c>
      <c r="AV114">
        <v>190</v>
      </c>
      <c r="AW114" t="s">
        <v>74</v>
      </c>
      <c r="AX114" t="s">
        <v>74</v>
      </c>
      <c r="AY114" t="s">
        <v>74</v>
      </c>
      <c r="AZ114" t="s">
        <v>74</v>
      </c>
      <c r="BA114" t="s">
        <v>74</v>
      </c>
      <c r="BB114">
        <v>53</v>
      </c>
      <c r="BC114">
        <v>67</v>
      </c>
      <c r="BD114" t="s">
        <v>74</v>
      </c>
      <c r="BE114" t="s">
        <v>1887</v>
      </c>
      <c r="BF114" t="str">
        <f>HYPERLINK("http://dx.doi.org/10.3354/meps190053","http://dx.doi.org/10.3354/meps190053")</f>
        <v>http://dx.doi.org/10.3354/meps190053</v>
      </c>
      <c r="BG114" t="s">
        <v>74</v>
      </c>
      <c r="BH114" t="s">
        <v>74</v>
      </c>
      <c r="BI114">
        <v>15</v>
      </c>
      <c r="BJ114" t="s">
        <v>1874</v>
      </c>
      <c r="BK114" t="s">
        <v>95</v>
      </c>
      <c r="BL114" t="s">
        <v>1875</v>
      </c>
      <c r="BM114" t="s">
        <v>1876</v>
      </c>
      <c r="BN114" t="s">
        <v>74</v>
      </c>
      <c r="BO114" t="s">
        <v>986</v>
      </c>
      <c r="BP114" t="s">
        <v>74</v>
      </c>
      <c r="BQ114" t="s">
        <v>74</v>
      </c>
      <c r="BR114" t="s">
        <v>98</v>
      </c>
      <c r="BS114" t="s">
        <v>1888</v>
      </c>
      <c r="BT114" t="str">
        <f>HYPERLINK("https%3A%2F%2Fwww.webofscience.com%2Fwos%2Fwoscc%2Ffull-record%2FWOS:000084553000005","View Full Record in Web of Science")</f>
        <v>View Full Record in Web of Science</v>
      </c>
    </row>
    <row r="115" spans="1:72" x14ac:dyDescent="0.15">
      <c r="A115" t="s">
        <v>72</v>
      </c>
      <c r="B115" t="s">
        <v>1889</v>
      </c>
      <c r="C115" t="s">
        <v>74</v>
      </c>
      <c r="D115" t="s">
        <v>74</v>
      </c>
      <c r="E115" t="s">
        <v>74</v>
      </c>
      <c r="F115" t="s">
        <v>1889</v>
      </c>
      <c r="G115" t="s">
        <v>74</v>
      </c>
      <c r="H115" t="s">
        <v>74</v>
      </c>
      <c r="I115" t="s">
        <v>1890</v>
      </c>
      <c r="J115" t="s">
        <v>1856</v>
      </c>
      <c r="K115" t="s">
        <v>74</v>
      </c>
      <c r="L115" t="s">
        <v>74</v>
      </c>
      <c r="M115" t="s">
        <v>77</v>
      </c>
      <c r="N115" t="s">
        <v>103</v>
      </c>
      <c r="O115" t="s">
        <v>74</v>
      </c>
      <c r="P115" t="s">
        <v>74</v>
      </c>
      <c r="Q115" t="s">
        <v>74</v>
      </c>
      <c r="R115" t="s">
        <v>74</v>
      </c>
      <c r="S115" t="s">
        <v>74</v>
      </c>
      <c r="T115" t="s">
        <v>1891</v>
      </c>
      <c r="U115" t="s">
        <v>1892</v>
      </c>
      <c r="V115" t="s">
        <v>1893</v>
      </c>
      <c r="W115" t="s">
        <v>1894</v>
      </c>
      <c r="X115" t="s">
        <v>1895</v>
      </c>
      <c r="Y115" t="s">
        <v>1896</v>
      </c>
      <c r="Z115" t="s">
        <v>1897</v>
      </c>
      <c r="AA115" t="s">
        <v>74</v>
      </c>
      <c r="AB115" t="s">
        <v>74</v>
      </c>
      <c r="AC115" t="s">
        <v>74</v>
      </c>
      <c r="AD115" t="s">
        <v>74</v>
      </c>
      <c r="AE115" t="s">
        <v>74</v>
      </c>
      <c r="AF115" t="s">
        <v>74</v>
      </c>
      <c r="AG115">
        <v>40</v>
      </c>
      <c r="AH115">
        <v>47</v>
      </c>
      <c r="AI115">
        <v>51</v>
      </c>
      <c r="AJ115">
        <v>1</v>
      </c>
      <c r="AK115">
        <v>8</v>
      </c>
      <c r="AL115" t="s">
        <v>1866</v>
      </c>
      <c r="AM115" t="s">
        <v>1867</v>
      </c>
      <c r="AN115" t="s">
        <v>1868</v>
      </c>
      <c r="AO115" t="s">
        <v>1869</v>
      </c>
      <c r="AP115" t="s">
        <v>1870</v>
      </c>
      <c r="AQ115" t="s">
        <v>74</v>
      </c>
      <c r="AR115" t="s">
        <v>1871</v>
      </c>
      <c r="AS115" t="s">
        <v>1872</v>
      </c>
      <c r="AT115" t="s">
        <v>74</v>
      </c>
      <c r="AU115">
        <v>1999</v>
      </c>
      <c r="AV115">
        <v>190</v>
      </c>
      <c r="AW115" t="s">
        <v>74</v>
      </c>
      <c r="AX115" t="s">
        <v>74</v>
      </c>
      <c r="AY115" t="s">
        <v>74</v>
      </c>
      <c r="AZ115" t="s">
        <v>74</v>
      </c>
      <c r="BA115" t="s">
        <v>74</v>
      </c>
      <c r="BB115">
        <v>253</v>
      </c>
      <c r="BC115">
        <v>262</v>
      </c>
      <c r="BD115" t="s">
        <v>74</v>
      </c>
      <c r="BE115" t="s">
        <v>1898</v>
      </c>
      <c r="BF115" t="str">
        <f>HYPERLINK("http://dx.doi.org/10.3354/meps190253","http://dx.doi.org/10.3354/meps190253")</f>
        <v>http://dx.doi.org/10.3354/meps190253</v>
      </c>
      <c r="BG115" t="s">
        <v>74</v>
      </c>
      <c r="BH115" t="s">
        <v>74</v>
      </c>
      <c r="BI115">
        <v>10</v>
      </c>
      <c r="BJ115" t="s">
        <v>1874</v>
      </c>
      <c r="BK115" t="s">
        <v>95</v>
      </c>
      <c r="BL115" t="s">
        <v>1875</v>
      </c>
      <c r="BM115" t="s">
        <v>1876</v>
      </c>
      <c r="BN115" t="s">
        <v>74</v>
      </c>
      <c r="BO115" t="s">
        <v>986</v>
      </c>
      <c r="BP115" t="s">
        <v>74</v>
      </c>
      <c r="BQ115" t="s">
        <v>74</v>
      </c>
      <c r="BR115" t="s">
        <v>98</v>
      </c>
      <c r="BS115" t="s">
        <v>1899</v>
      </c>
      <c r="BT115" t="str">
        <f>HYPERLINK("https%3A%2F%2Fwww.webofscience.com%2Fwos%2Fwoscc%2Ffull-record%2FWOS:000084553000019","View Full Record in Web of Science")</f>
        <v>View Full Record in Web of Science</v>
      </c>
    </row>
    <row r="116" spans="1:72" x14ac:dyDescent="0.15">
      <c r="A116" t="s">
        <v>72</v>
      </c>
      <c r="B116" t="s">
        <v>1900</v>
      </c>
      <c r="C116" t="s">
        <v>74</v>
      </c>
      <c r="D116" t="s">
        <v>74</v>
      </c>
      <c r="E116" t="s">
        <v>74</v>
      </c>
      <c r="F116" t="s">
        <v>1900</v>
      </c>
      <c r="G116" t="s">
        <v>74</v>
      </c>
      <c r="H116" t="s">
        <v>74</v>
      </c>
      <c r="I116" t="s">
        <v>1901</v>
      </c>
      <c r="J116" t="s">
        <v>1856</v>
      </c>
      <c r="K116" t="s">
        <v>74</v>
      </c>
      <c r="L116" t="s">
        <v>74</v>
      </c>
      <c r="M116" t="s">
        <v>77</v>
      </c>
      <c r="N116" t="s">
        <v>103</v>
      </c>
      <c r="O116" t="s">
        <v>74</v>
      </c>
      <c r="P116" t="s">
        <v>74</v>
      </c>
      <c r="Q116" t="s">
        <v>74</v>
      </c>
      <c r="R116" t="s">
        <v>74</v>
      </c>
      <c r="S116" t="s">
        <v>74</v>
      </c>
      <c r="T116" t="s">
        <v>1902</v>
      </c>
      <c r="U116" t="s">
        <v>1903</v>
      </c>
      <c r="V116" t="s">
        <v>1904</v>
      </c>
      <c r="W116" t="s">
        <v>1905</v>
      </c>
      <c r="X116" t="s">
        <v>1906</v>
      </c>
      <c r="Y116" t="s">
        <v>1907</v>
      </c>
      <c r="Z116" t="s">
        <v>1908</v>
      </c>
      <c r="AA116" t="s">
        <v>74</v>
      </c>
      <c r="AB116" t="s">
        <v>74</v>
      </c>
      <c r="AC116" t="s">
        <v>74</v>
      </c>
      <c r="AD116" t="s">
        <v>74</v>
      </c>
      <c r="AE116" t="s">
        <v>74</v>
      </c>
      <c r="AF116" t="s">
        <v>74</v>
      </c>
      <c r="AG116">
        <v>93</v>
      </c>
      <c r="AH116">
        <v>148</v>
      </c>
      <c r="AI116">
        <v>159</v>
      </c>
      <c r="AJ116">
        <v>0</v>
      </c>
      <c r="AK116">
        <v>32</v>
      </c>
      <c r="AL116" t="s">
        <v>1866</v>
      </c>
      <c r="AM116" t="s">
        <v>1867</v>
      </c>
      <c r="AN116" t="s">
        <v>1868</v>
      </c>
      <c r="AO116" t="s">
        <v>1869</v>
      </c>
      <c r="AP116" t="s">
        <v>1870</v>
      </c>
      <c r="AQ116" t="s">
        <v>74</v>
      </c>
      <c r="AR116" t="s">
        <v>1871</v>
      </c>
      <c r="AS116" t="s">
        <v>1872</v>
      </c>
      <c r="AT116" t="s">
        <v>74</v>
      </c>
      <c r="AU116">
        <v>1999</v>
      </c>
      <c r="AV116">
        <v>189</v>
      </c>
      <c r="AW116" t="s">
        <v>74</v>
      </c>
      <c r="AX116" t="s">
        <v>74</v>
      </c>
      <c r="AY116" t="s">
        <v>74</v>
      </c>
      <c r="AZ116" t="s">
        <v>74</v>
      </c>
      <c r="BA116" t="s">
        <v>74</v>
      </c>
      <c r="BB116">
        <v>35</v>
      </c>
      <c r="BC116">
        <v>51</v>
      </c>
      <c r="BD116" t="s">
        <v>74</v>
      </c>
      <c r="BE116" t="s">
        <v>1909</v>
      </c>
      <c r="BF116" t="str">
        <f>HYPERLINK("http://dx.doi.org/10.3354/meps189035","http://dx.doi.org/10.3354/meps189035")</f>
        <v>http://dx.doi.org/10.3354/meps189035</v>
      </c>
      <c r="BG116" t="s">
        <v>74</v>
      </c>
      <c r="BH116" t="s">
        <v>74</v>
      </c>
      <c r="BI116">
        <v>17</v>
      </c>
      <c r="BJ116" t="s">
        <v>1874</v>
      </c>
      <c r="BK116" t="s">
        <v>95</v>
      </c>
      <c r="BL116" t="s">
        <v>1875</v>
      </c>
      <c r="BM116" t="s">
        <v>1910</v>
      </c>
      <c r="BN116" t="s">
        <v>74</v>
      </c>
      <c r="BO116" t="s">
        <v>1089</v>
      </c>
      <c r="BP116" t="s">
        <v>74</v>
      </c>
      <c r="BQ116" t="s">
        <v>74</v>
      </c>
      <c r="BR116" t="s">
        <v>98</v>
      </c>
      <c r="BS116" t="s">
        <v>1911</v>
      </c>
      <c r="BT116" t="str">
        <f>HYPERLINK("https%3A%2F%2Fwww.webofscience.com%2Fwos%2Fwoscc%2Ffull-record%2FWOS:000084370600005","View Full Record in Web of Science")</f>
        <v>View Full Record in Web of Science</v>
      </c>
    </row>
    <row r="117" spans="1:72" x14ac:dyDescent="0.15">
      <c r="A117" t="s">
        <v>72</v>
      </c>
      <c r="B117" t="s">
        <v>1912</v>
      </c>
      <c r="C117" t="s">
        <v>74</v>
      </c>
      <c r="D117" t="s">
        <v>74</v>
      </c>
      <c r="E117" t="s">
        <v>74</v>
      </c>
      <c r="F117" t="s">
        <v>1912</v>
      </c>
      <c r="G117" t="s">
        <v>74</v>
      </c>
      <c r="H117" t="s">
        <v>74</v>
      </c>
      <c r="I117" t="s">
        <v>1913</v>
      </c>
      <c r="J117" t="s">
        <v>1856</v>
      </c>
      <c r="K117" t="s">
        <v>74</v>
      </c>
      <c r="L117" t="s">
        <v>74</v>
      </c>
      <c r="M117" t="s">
        <v>77</v>
      </c>
      <c r="N117" t="s">
        <v>103</v>
      </c>
      <c r="O117" t="s">
        <v>74</v>
      </c>
      <c r="P117" t="s">
        <v>74</v>
      </c>
      <c r="Q117" t="s">
        <v>74</v>
      </c>
      <c r="R117" t="s">
        <v>74</v>
      </c>
      <c r="S117" t="s">
        <v>74</v>
      </c>
      <c r="T117" t="s">
        <v>1914</v>
      </c>
      <c r="U117" t="s">
        <v>1915</v>
      </c>
      <c r="V117" t="s">
        <v>1916</v>
      </c>
      <c r="W117" t="s">
        <v>1917</v>
      </c>
      <c r="X117" t="s">
        <v>1918</v>
      </c>
      <c r="Y117" t="s">
        <v>1919</v>
      </c>
      <c r="Z117" t="s">
        <v>1920</v>
      </c>
      <c r="AA117" t="s">
        <v>1921</v>
      </c>
      <c r="AB117" t="s">
        <v>1922</v>
      </c>
      <c r="AC117" t="s">
        <v>74</v>
      </c>
      <c r="AD117" t="s">
        <v>74</v>
      </c>
      <c r="AE117" t="s">
        <v>74</v>
      </c>
      <c r="AF117" t="s">
        <v>74</v>
      </c>
      <c r="AG117">
        <v>75</v>
      </c>
      <c r="AH117">
        <v>6</v>
      </c>
      <c r="AI117">
        <v>8</v>
      </c>
      <c r="AJ117">
        <v>2</v>
      </c>
      <c r="AK117">
        <v>13</v>
      </c>
      <c r="AL117" t="s">
        <v>1866</v>
      </c>
      <c r="AM117" t="s">
        <v>1867</v>
      </c>
      <c r="AN117" t="s">
        <v>1868</v>
      </c>
      <c r="AO117" t="s">
        <v>1869</v>
      </c>
      <c r="AP117" t="s">
        <v>1870</v>
      </c>
      <c r="AQ117" t="s">
        <v>74</v>
      </c>
      <c r="AR117" t="s">
        <v>1871</v>
      </c>
      <c r="AS117" t="s">
        <v>1872</v>
      </c>
      <c r="AT117" t="s">
        <v>74</v>
      </c>
      <c r="AU117">
        <v>1999</v>
      </c>
      <c r="AV117">
        <v>189</v>
      </c>
      <c r="AW117" t="s">
        <v>74</v>
      </c>
      <c r="AX117" t="s">
        <v>74</v>
      </c>
      <c r="AY117" t="s">
        <v>74</v>
      </c>
      <c r="AZ117" t="s">
        <v>74</v>
      </c>
      <c r="BA117" t="s">
        <v>74</v>
      </c>
      <c r="BB117">
        <v>149</v>
      </c>
      <c r="BC117">
        <v>158</v>
      </c>
      <c r="BD117" t="s">
        <v>74</v>
      </c>
      <c r="BE117" t="s">
        <v>1923</v>
      </c>
      <c r="BF117" t="str">
        <f>HYPERLINK("http://dx.doi.org/10.3354/meps189149","http://dx.doi.org/10.3354/meps189149")</f>
        <v>http://dx.doi.org/10.3354/meps189149</v>
      </c>
      <c r="BG117" t="s">
        <v>74</v>
      </c>
      <c r="BH117" t="s">
        <v>74</v>
      </c>
      <c r="BI117">
        <v>10</v>
      </c>
      <c r="BJ117" t="s">
        <v>1874</v>
      </c>
      <c r="BK117" t="s">
        <v>95</v>
      </c>
      <c r="BL117" t="s">
        <v>1875</v>
      </c>
      <c r="BM117" t="s">
        <v>1910</v>
      </c>
      <c r="BN117" t="s">
        <v>74</v>
      </c>
      <c r="BO117" t="s">
        <v>1089</v>
      </c>
      <c r="BP117" t="s">
        <v>74</v>
      </c>
      <c r="BQ117" t="s">
        <v>74</v>
      </c>
      <c r="BR117" t="s">
        <v>98</v>
      </c>
      <c r="BS117" t="s">
        <v>1924</v>
      </c>
      <c r="BT117" t="str">
        <f>HYPERLINK("https%3A%2F%2Fwww.webofscience.com%2Fwos%2Fwoscc%2Ffull-record%2FWOS:000084370600014","View Full Record in Web of Science")</f>
        <v>View Full Record in Web of Science</v>
      </c>
    </row>
    <row r="118" spans="1:72" x14ac:dyDescent="0.15">
      <c r="A118" t="s">
        <v>72</v>
      </c>
      <c r="B118" t="s">
        <v>1925</v>
      </c>
      <c r="C118" t="s">
        <v>74</v>
      </c>
      <c r="D118" t="s">
        <v>74</v>
      </c>
      <c r="E118" t="s">
        <v>74</v>
      </c>
      <c r="F118" t="s">
        <v>1925</v>
      </c>
      <c r="G118" t="s">
        <v>74</v>
      </c>
      <c r="H118" t="s">
        <v>74</v>
      </c>
      <c r="I118" t="s">
        <v>1926</v>
      </c>
      <c r="J118" t="s">
        <v>1856</v>
      </c>
      <c r="K118" t="s">
        <v>74</v>
      </c>
      <c r="L118" t="s">
        <v>74</v>
      </c>
      <c r="M118" t="s">
        <v>77</v>
      </c>
      <c r="N118" t="s">
        <v>103</v>
      </c>
      <c r="O118" t="s">
        <v>74</v>
      </c>
      <c r="P118" t="s">
        <v>74</v>
      </c>
      <c r="Q118" t="s">
        <v>74</v>
      </c>
      <c r="R118" t="s">
        <v>74</v>
      </c>
      <c r="S118" t="s">
        <v>74</v>
      </c>
      <c r="T118" t="s">
        <v>1927</v>
      </c>
      <c r="U118" t="s">
        <v>1928</v>
      </c>
      <c r="V118" t="s">
        <v>1929</v>
      </c>
      <c r="W118" t="s">
        <v>1930</v>
      </c>
      <c r="X118" t="s">
        <v>1931</v>
      </c>
      <c r="Y118" t="s">
        <v>1932</v>
      </c>
      <c r="Z118" t="s">
        <v>1933</v>
      </c>
      <c r="AA118" t="s">
        <v>1934</v>
      </c>
      <c r="AB118" t="s">
        <v>1935</v>
      </c>
      <c r="AC118" t="s">
        <v>74</v>
      </c>
      <c r="AD118" t="s">
        <v>74</v>
      </c>
      <c r="AE118" t="s">
        <v>74</v>
      </c>
      <c r="AF118" t="s">
        <v>74</v>
      </c>
      <c r="AG118">
        <v>72</v>
      </c>
      <c r="AH118">
        <v>89</v>
      </c>
      <c r="AI118">
        <v>93</v>
      </c>
      <c r="AJ118">
        <v>1</v>
      </c>
      <c r="AK118">
        <v>13</v>
      </c>
      <c r="AL118" t="s">
        <v>1866</v>
      </c>
      <c r="AM118" t="s">
        <v>1867</v>
      </c>
      <c r="AN118" t="s">
        <v>1868</v>
      </c>
      <c r="AO118" t="s">
        <v>1869</v>
      </c>
      <c r="AP118" t="s">
        <v>74</v>
      </c>
      <c r="AQ118" t="s">
        <v>74</v>
      </c>
      <c r="AR118" t="s">
        <v>1871</v>
      </c>
      <c r="AS118" t="s">
        <v>1872</v>
      </c>
      <c r="AT118" t="s">
        <v>74</v>
      </c>
      <c r="AU118">
        <v>1999</v>
      </c>
      <c r="AV118">
        <v>188</v>
      </c>
      <c r="AW118" t="s">
        <v>74</v>
      </c>
      <c r="AX118" t="s">
        <v>74</v>
      </c>
      <c r="AY118" t="s">
        <v>74</v>
      </c>
      <c r="AZ118" t="s">
        <v>74</v>
      </c>
      <c r="BA118" t="s">
        <v>74</v>
      </c>
      <c r="BB118">
        <v>93</v>
      </c>
      <c r="BC118">
        <v>104</v>
      </c>
      <c r="BD118" t="s">
        <v>74</v>
      </c>
      <c r="BE118" t="s">
        <v>1936</v>
      </c>
      <c r="BF118" t="str">
        <f>HYPERLINK("http://dx.doi.org/10.3354/meps188093","http://dx.doi.org/10.3354/meps188093")</f>
        <v>http://dx.doi.org/10.3354/meps188093</v>
      </c>
      <c r="BG118" t="s">
        <v>74</v>
      </c>
      <c r="BH118" t="s">
        <v>74</v>
      </c>
      <c r="BI118">
        <v>12</v>
      </c>
      <c r="BJ118" t="s">
        <v>1874</v>
      </c>
      <c r="BK118" t="s">
        <v>95</v>
      </c>
      <c r="BL118" t="s">
        <v>1875</v>
      </c>
      <c r="BM118" t="s">
        <v>1937</v>
      </c>
      <c r="BN118" t="s">
        <v>74</v>
      </c>
      <c r="BO118" t="s">
        <v>1938</v>
      </c>
      <c r="BP118" t="s">
        <v>74</v>
      </c>
      <c r="BQ118" t="s">
        <v>74</v>
      </c>
      <c r="BR118" t="s">
        <v>98</v>
      </c>
      <c r="BS118" t="s">
        <v>1939</v>
      </c>
      <c r="BT118" t="str">
        <f>HYPERLINK("https%3A%2F%2Fwww.webofscience.com%2Fwos%2Fwoscc%2Ffull-record%2FWOS:000084085700009","View Full Record in Web of Science")</f>
        <v>View Full Record in Web of Science</v>
      </c>
    </row>
    <row r="119" spans="1:72" x14ac:dyDescent="0.15">
      <c r="A119" t="s">
        <v>72</v>
      </c>
      <c r="B119" t="s">
        <v>1940</v>
      </c>
      <c r="C119" t="s">
        <v>74</v>
      </c>
      <c r="D119" t="s">
        <v>74</v>
      </c>
      <c r="E119" t="s">
        <v>74</v>
      </c>
      <c r="F119" t="s">
        <v>1940</v>
      </c>
      <c r="G119" t="s">
        <v>74</v>
      </c>
      <c r="H119" t="s">
        <v>74</v>
      </c>
      <c r="I119" t="s">
        <v>1941</v>
      </c>
      <c r="J119" t="s">
        <v>1856</v>
      </c>
      <c r="K119" t="s">
        <v>74</v>
      </c>
      <c r="L119" t="s">
        <v>74</v>
      </c>
      <c r="M119" t="s">
        <v>77</v>
      </c>
      <c r="N119" t="s">
        <v>103</v>
      </c>
      <c r="O119" t="s">
        <v>74</v>
      </c>
      <c r="P119" t="s">
        <v>74</v>
      </c>
      <c r="Q119" t="s">
        <v>74</v>
      </c>
      <c r="R119" t="s">
        <v>74</v>
      </c>
      <c r="S119" t="s">
        <v>74</v>
      </c>
      <c r="T119" t="s">
        <v>1942</v>
      </c>
      <c r="U119" t="s">
        <v>1943</v>
      </c>
      <c r="V119" t="s">
        <v>1944</v>
      </c>
      <c r="W119" t="s">
        <v>944</v>
      </c>
      <c r="X119" t="s">
        <v>628</v>
      </c>
      <c r="Y119" t="s">
        <v>1945</v>
      </c>
      <c r="Z119" t="s">
        <v>1946</v>
      </c>
      <c r="AA119" t="s">
        <v>74</v>
      </c>
      <c r="AB119" t="s">
        <v>74</v>
      </c>
      <c r="AC119" t="s">
        <v>74</v>
      </c>
      <c r="AD119" t="s">
        <v>74</v>
      </c>
      <c r="AE119" t="s">
        <v>74</v>
      </c>
      <c r="AF119" t="s">
        <v>74</v>
      </c>
      <c r="AG119">
        <v>38</v>
      </c>
      <c r="AH119">
        <v>28</v>
      </c>
      <c r="AI119">
        <v>32</v>
      </c>
      <c r="AJ119">
        <v>0</v>
      </c>
      <c r="AK119">
        <v>7</v>
      </c>
      <c r="AL119" t="s">
        <v>1866</v>
      </c>
      <c r="AM119" t="s">
        <v>1867</v>
      </c>
      <c r="AN119" t="s">
        <v>1868</v>
      </c>
      <c r="AO119" t="s">
        <v>1869</v>
      </c>
      <c r="AP119" t="s">
        <v>74</v>
      </c>
      <c r="AQ119" t="s">
        <v>74</v>
      </c>
      <c r="AR119" t="s">
        <v>1871</v>
      </c>
      <c r="AS119" t="s">
        <v>1872</v>
      </c>
      <c r="AT119" t="s">
        <v>74</v>
      </c>
      <c r="AU119">
        <v>1999</v>
      </c>
      <c r="AV119">
        <v>188</v>
      </c>
      <c r="AW119" t="s">
        <v>74</v>
      </c>
      <c r="AX119" t="s">
        <v>74</v>
      </c>
      <c r="AY119" t="s">
        <v>74</v>
      </c>
      <c r="AZ119" t="s">
        <v>74</v>
      </c>
      <c r="BA119" t="s">
        <v>74</v>
      </c>
      <c r="BB119">
        <v>149</v>
      </c>
      <c r="BC119">
        <v>160</v>
      </c>
      <c r="BD119" t="s">
        <v>74</v>
      </c>
      <c r="BE119" t="s">
        <v>1947</v>
      </c>
      <c r="BF119" t="str">
        <f>HYPERLINK("http://dx.doi.org/10.3354/meps188149","http://dx.doi.org/10.3354/meps188149")</f>
        <v>http://dx.doi.org/10.3354/meps188149</v>
      </c>
      <c r="BG119" t="s">
        <v>74</v>
      </c>
      <c r="BH119" t="s">
        <v>74</v>
      </c>
      <c r="BI119">
        <v>12</v>
      </c>
      <c r="BJ119" t="s">
        <v>1874</v>
      </c>
      <c r="BK119" t="s">
        <v>95</v>
      </c>
      <c r="BL119" t="s">
        <v>1875</v>
      </c>
      <c r="BM119" t="s">
        <v>1937</v>
      </c>
      <c r="BN119" t="s">
        <v>74</v>
      </c>
      <c r="BO119" t="s">
        <v>1089</v>
      </c>
      <c r="BP119" t="s">
        <v>74</v>
      </c>
      <c r="BQ119" t="s">
        <v>74</v>
      </c>
      <c r="BR119" t="s">
        <v>98</v>
      </c>
      <c r="BS119" t="s">
        <v>1948</v>
      </c>
      <c r="BT119" t="str">
        <f>HYPERLINK("https%3A%2F%2Fwww.webofscience.com%2Fwos%2Fwoscc%2Ffull-record%2FWOS:000084085700014","View Full Record in Web of Science")</f>
        <v>View Full Record in Web of Science</v>
      </c>
    </row>
    <row r="120" spans="1:72" x14ac:dyDescent="0.15">
      <c r="A120" t="s">
        <v>72</v>
      </c>
      <c r="B120" t="s">
        <v>1949</v>
      </c>
      <c r="C120" t="s">
        <v>74</v>
      </c>
      <c r="D120" t="s">
        <v>74</v>
      </c>
      <c r="E120" t="s">
        <v>74</v>
      </c>
      <c r="F120" t="s">
        <v>1949</v>
      </c>
      <c r="G120" t="s">
        <v>74</v>
      </c>
      <c r="H120" t="s">
        <v>74</v>
      </c>
      <c r="I120" t="s">
        <v>1950</v>
      </c>
      <c r="J120" t="s">
        <v>1856</v>
      </c>
      <c r="K120" t="s">
        <v>74</v>
      </c>
      <c r="L120" t="s">
        <v>74</v>
      </c>
      <c r="M120" t="s">
        <v>77</v>
      </c>
      <c r="N120" t="s">
        <v>103</v>
      </c>
      <c r="O120" t="s">
        <v>74</v>
      </c>
      <c r="P120" t="s">
        <v>74</v>
      </c>
      <c r="Q120" t="s">
        <v>74</v>
      </c>
      <c r="R120" t="s">
        <v>74</v>
      </c>
      <c r="S120" t="s">
        <v>74</v>
      </c>
      <c r="T120" t="s">
        <v>1951</v>
      </c>
      <c r="U120" t="s">
        <v>1952</v>
      </c>
      <c r="V120" t="s">
        <v>1953</v>
      </c>
      <c r="W120" t="s">
        <v>1954</v>
      </c>
      <c r="X120" t="s">
        <v>1955</v>
      </c>
      <c r="Y120" t="s">
        <v>1956</v>
      </c>
      <c r="Z120" t="s">
        <v>1957</v>
      </c>
      <c r="AA120" t="s">
        <v>1958</v>
      </c>
      <c r="AB120" t="s">
        <v>1959</v>
      </c>
      <c r="AC120" t="s">
        <v>74</v>
      </c>
      <c r="AD120" t="s">
        <v>74</v>
      </c>
      <c r="AE120" t="s">
        <v>74</v>
      </c>
      <c r="AF120" t="s">
        <v>74</v>
      </c>
      <c r="AG120">
        <v>22</v>
      </c>
      <c r="AH120">
        <v>45</v>
      </c>
      <c r="AI120">
        <v>48</v>
      </c>
      <c r="AJ120">
        <v>0</v>
      </c>
      <c r="AK120">
        <v>24</v>
      </c>
      <c r="AL120" t="s">
        <v>1866</v>
      </c>
      <c r="AM120" t="s">
        <v>1867</v>
      </c>
      <c r="AN120" t="s">
        <v>1868</v>
      </c>
      <c r="AO120" t="s">
        <v>1869</v>
      </c>
      <c r="AP120" t="s">
        <v>1870</v>
      </c>
      <c r="AQ120" t="s">
        <v>74</v>
      </c>
      <c r="AR120" t="s">
        <v>1871</v>
      </c>
      <c r="AS120" t="s">
        <v>1872</v>
      </c>
      <c r="AT120" t="s">
        <v>74</v>
      </c>
      <c r="AU120">
        <v>1999</v>
      </c>
      <c r="AV120">
        <v>188</v>
      </c>
      <c r="AW120" t="s">
        <v>74</v>
      </c>
      <c r="AX120" t="s">
        <v>74</v>
      </c>
      <c r="AY120" t="s">
        <v>74</v>
      </c>
      <c r="AZ120" t="s">
        <v>74</v>
      </c>
      <c r="BA120" t="s">
        <v>74</v>
      </c>
      <c r="BB120">
        <v>219</v>
      </c>
      <c r="BC120">
        <v>224</v>
      </c>
      <c r="BD120" t="s">
        <v>74</v>
      </c>
      <c r="BE120" t="s">
        <v>1960</v>
      </c>
      <c r="BF120" t="str">
        <f>HYPERLINK("http://dx.doi.org/10.3354/meps188219","http://dx.doi.org/10.3354/meps188219")</f>
        <v>http://dx.doi.org/10.3354/meps188219</v>
      </c>
      <c r="BG120" t="s">
        <v>74</v>
      </c>
      <c r="BH120" t="s">
        <v>74</v>
      </c>
      <c r="BI120">
        <v>6</v>
      </c>
      <c r="BJ120" t="s">
        <v>1874</v>
      </c>
      <c r="BK120" t="s">
        <v>95</v>
      </c>
      <c r="BL120" t="s">
        <v>1875</v>
      </c>
      <c r="BM120" t="s">
        <v>1937</v>
      </c>
      <c r="BN120" t="s">
        <v>74</v>
      </c>
      <c r="BO120" t="s">
        <v>1089</v>
      </c>
      <c r="BP120" t="s">
        <v>74</v>
      </c>
      <c r="BQ120" t="s">
        <v>74</v>
      </c>
      <c r="BR120" t="s">
        <v>98</v>
      </c>
      <c r="BS120" t="s">
        <v>1961</v>
      </c>
      <c r="BT120" t="str">
        <f>HYPERLINK("https%3A%2F%2Fwww.webofscience.com%2Fwos%2Fwoscc%2Ffull-record%2FWOS:000084085700021","View Full Record in Web of Science")</f>
        <v>View Full Record in Web of Science</v>
      </c>
    </row>
    <row r="121" spans="1:72" x14ac:dyDescent="0.15">
      <c r="A121" t="s">
        <v>72</v>
      </c>
      <c r="B121" t="s">
        <v>1962</v>
      </c>
      <c r="C121" t="s">
        <v>74</v>
      </c>
      <c r="D121" t="s">
        <v>74</v>
      </c>
      <c r="E121" t="s">
        <v>74</v>
      </c>
      <c r="F121" t="s">
        <v>1962</v>
      </c>
      <c r="G121" t="s">
        <v>74</v>
      </c>
      <c r="H121" t="s">
        <v>74</v>
      </c>
      <c r="I121" t="s">
        <v>1963</v>
      </c>
      <c r="J121" t="s">
        <v>1856</v>
      </c>
      <c r="K121" t="s">
        <v>74</v>
      </c>
      <c r="L121" t="s">
        <v>74</v>
      </c>
      <c r="M121" t="s">
        <v>77</v>
      </c>
      <c r="N121" t="s">
        <v>103</v>
      </c>
      <c r="O121" t="s">
        <v>74</v>
      </c>
      <c r="P121" t="s">
        <v>74</v>
      </c>
      <c r="Q121" t="s">
        <v>74</v>
      </c>
      <c r="R121" t="s">
        <v>74</v>
      </c>
      <c r="S121" t="s">
        <v>74</v>
      </c>
      <c r="T121" t="s">
        <v>1964</v>
      </c>
      <c r="U121" t="s">
        <v>1965</v>
      </c>
      <c r="V121" t="s">
        <v>1966</v>
      </c>
      <c r="W121" t="s">
        <v>1967</v>
      </c>
      <c r="X121" t="s">
        <v>1968</v>
      </c>
      <c r="Y121" t="s">
        <v>1969</v>
      </c>
      <c r="Z121" t="s">
        <v>1970</v>
      </c>
      <c r="AA121" t="s">
        <v>1971</v>
      </c>
      <c r="AB121" t="s">
        <v>1972</v>
      </c>
      <c r="AC121" t="s">
        <v>74</v>
      </c>
      <c r="AD121" t="s">
        <v>74</v>
      </c>
      <c r="AE121" t="s">
        <v>74</v>
      </c>
      <c r="AF121" t="s">
        <v>74</v>
      </c>
      <c r="AG121">
        <v>46</v>
      </c>
      <c r="AH121">
        <v>69</v>
      </c>
      <c r="AI121">
        <v>77</v>
      </c>
      <c r="AJ121">
        <v>0</v>
      </c>
      <c r="AK121">
        <v>34</v>
      </c>
      <c r="AL121" t="s">
        <v>1866</v>
      </c>
      <c r="AM121" t="s">
        <v>1867</v>
      </c>
      <c r="AN121" t="s">
        <v>1868</v>
      </c>
      <c r="AO121" t="s">
        <v>1869</v>
      </c>
      <c r="AP121" t="s">
        <v>1870</v>
      </c>
      <c r="AQ121" t="s">
        <v>74</v>
      </c>
      <c r="AR121" t="s">
        <v>1871</v>
      </c>
      <c r="AS121" t="s">
        <v>1872</v>
      </c>
      <c r="AT121" t="s">
        <v>74</v>
      </c>
      <c r="AU121">
        <v>1999</v>
      </c>
      <c r="AV121">
        <v>187</v>
      </c>
      <c r="AW121" t="s">
        <v>74</v>
      </c>
      <c r="AX121" t="s">
        <v>74</v>
      </c>
      <c r="AY121" t="s">
        <v>74</v>
      </c>
      <c r="AZ121" t="s">
        <v>74</v>
      </c>
      <c r="BA121" t="s">
        <v>74</v>
      </c>
      <c r="BB121">
        <v>31</v>
      </c>
      <c r="BC121">
        <v>41</v>
      </c>
      <c r="BD121" t="s">
        <v>74</v>
      </c>
      <c r="BE121" t="s">
        <v>1973</v>
      </c>
      <c r="BF121" t="str">
        <f>HYPERLINK("http://dx.doi.org/10.3354/meps187031","http://dx.doi.org/10.3354/meps187031")</f>
        <v>http://dx.doi.org/10.3354/meps187031</v>
      </c>
      <c r="BG121" t="s">
        <v>74</v>
      </c>
      <c r="BH121" t="s">
        <v>74</v>
      </c>
      <c r="BI121">
        <v>11</v>
      </c>
      <c r="BJ121" t="s">
        <v>1874</v>
      </c>
      <c r="BK121" t="s">
        <v>95</v>
      </c>
      <c r="BL121" t="s">
        <v>1875</v>
      </c>
      <c r="BM121" t="s">
        <v>1974</v>
      </c>
      <c r="BN121" t="s">
        <v>74</v>
      </c>
      <c r="BO121" t="s">
        <v>986</v>
      </c>
      <c r="BP121" t="s">
        <v>74</v>
      </c>
      <c r="BQ121" t="s">
        <v>74</v>
      </c>
      <c r="BR121" t="s">
        <v>98</v>
      </c>
      <c r="BS121" t="s">
        <v>1975</v>
      </c>
      <c r="BT121" t="str">
        <f>HYPERLINK("https%3A%2F%2Fwww.webofscience.com%2Fwos%2Fwoscc%2Ffull-record%2FWOS:000083830200003","View Full Record in Web of Science")</f>
        <v>View Full Record in Web of Science</v>
      </c>
    </row>
    <row r="122" spans="1:72" x14ac:dyDescent="0.15">
      <c r="A122" t="s">
        <v>72</v>
      </c>
      <c r="B122" t="s">
        <v>1976</v>
      </c>
      <c r="C122" t="s">
        <v>74</v>
      </c>
      <c r="D122" t="s">
        <v>74</v>
      </c>
      <c r="E122" t="s">
        <v>74</v>
      </c>
      <c r="F122" t="s">
        <v>1976</v>
      </c>
      <c r="G122" t="s">
        <v>74</v>
      </c>
      <c r="H122" t="s">
        <v>74</v>
      </c>
      <c r="I122" t="s">
        <v>1977</v>
      </c>
      <c r="J122" t="s">
        <v>1856</v>
      </c>
      <c r="K122" t="s">
        <v>74</v>
      </c>
      <c r="L122" t="s">
        <v>74</v>
      </c>
      <c r="M122" t="s">
        <v>77</v>
      </c>
      <c r="N122" t="s">
        <v>103</v>
      </c>
      <c r="O122" t="s">
        <v>74</v>
      </c>
      <c r="P122" t="s">
        <v>74</v>
      </c>
      <c r="Q122" t="s">
        <v>74</v>
      </c>
      <c r="R122" t="s">
        <v>74</v>
      </c>
      <c r="S122" t="s">
        <v>74</v>
      </c>
      <c r="T122" t="s">
        <v>1978</v>
      </c>
      <c r="U122" t="s">
        <v>1979</v>
      </c>
      <c r="V122" t="s">
        <v>1980</v>
      </c>
      <c r="W122" t="s">
        <v>1981</v>
      </c>
      <c r="X122" t="s">
        <v>1982</v>
      </c>
      <c r="Y122" t="s">
        <v>1983</v>
      </c>
      <c r="Z122" t="s">
        <v>1984</v>
      </c>
      <c r="AA122" t="s">
        <v>1985</v>
      </c>
      <c r="AB122" t="s">
        <v>1986</v>
      </c>
      <c r="AC122" t="s">
        <v>74</v>
      </c>
      <c r="AD122" t="s">
        <v>74</v>
      </c>
      <c r="AE122" t="s">
        <v>74</v>
      </c>
      <c r="AF122" t="s">
        <v>74</v>
      </c>
      <c r="AG122">
        <v>64</v>
      </c>
      <c r="AH122">
        <v>25</v>
      </c>
      <c r="AI122">
        <v>29</v>
      </c>
      <c r="AJ122">
        <v>0</v>
      </c>
      <c r="AK122">
        <v>9</v>
      </c>
      <c r="AL122" t="s">
        <v>1866</v>
      </c>
      <c r="AM122" t="s">
        <v>1867</v>
      </c>
      <c r="AN122" t="s">
        <v>1868</v>
      </c>
      <c r="AO122" t="s">
        <v>1869</v>
      </c>
      <c r="AP122" t="s">
        <v>74</v>
      </c>
      <c r="AQ122" t="s">
        <v>74</v>
      </c>
      <c r="AR122" t="s">
        <v>1871</v>
      </c>
      <c r="AS122" t="s">
        <v>1872</v>
      </c>
      <c r="AT122" t="s">
        <v>74</v>
      </c>
      <c r="AU122">
        <v>1999</v>
      </c>
      <c r="AV122">
        <v>187</v>
      </c>
      <c r="AW122" t="s">
        <v>74</v>
      </c>
      <c r="AX122" t="s">
        <v>74</v>
      </c>
      <c r="AY122" t="s">
        <v>74</v>
      </c>
      <c r="AZ122" t="s">
        <v>74</v>
      </c>
      <c r="BA122" t="s">
        <v>74</v>
      </c>
      <c r="BB122">
        <v>89</v>
      </c>
      <c r="BC122">
        <v>100</v>
      </c>
      <c r="BD122" t="s">
        <v>74</v>
      </c>
      <c r="BE122" t="s">
        <v>1987</v>
      </c>
      <c r="BF122" t="str">
        <f>HYPERLINK("http://dx.doi.org/10.3354/meps187089","http://dx.doi.org/10.3354/meps187089")</f>
        <v>http://dx.doi.org/10.3354/meps187089</v>
      </c>
      <c r="BG122" t="s">
        <v>74</v>
      </c>
      <c r="BH122" t="s">
        <v>74</v>
      </c>
      <c r="BI122">
        <v>12</v>
      </c>
      <c r="BJ122" t="s">
        <v>1874</v>
      </c>
      <c r="BK122" t="s">
        <v>95</v>
      </c>
      <c r="BL122" t="s">
        <v>1875</v>
      </c>
      <c r="BM122" t="s">
        <v>1974</v>
      </c>
      <c r="BN122" t="s">
        <v>74</v>
      </c>
      <c r="BO122" t="s">
        <v>1089</v>
      </c>
      <c r="BP122" t="s">
        <v>74</v>
      </c>
      <c r="BQ122" t="s">
        <v>74</v>
      </c>
      <c r="BR122" t="s">
        <v>98</v>
      </c>
      <c r="BS122" t="s">
        <v>1988</v>
      </c>
      <c r="BT122" t="str">
        <f>HYPERLINK("https%3A%2F%2Fwww.webofscience.com%2Fwos%2Fwoscc%2Ffull-record%2FWOS:000083830200008","View Full Record in Web of Science")</f>
        <v>View Full Record in Web of Science</v>
      </c>
    </row>
    <row r="123" spans="1:72" x14ac:dyDescent="0.15">
      <c r="A123" t="s">
        <v>72</v>
      </c>
      <c r="B123" t="s">
        <v>1989</v>
      </c>
      <c r="C123" t="s">
        <v>74</v>
      </c>
      <c r="D123" t="s">
        <v>74</v>
      </c>
      <c r="E123" t="s">
        <v>74</v>
      </c>
      <c r="F123" t="s">
        <v>1989</v>
      </c>
      <c r="G123" t="s">
        <v>74</v>
      </c>
      <c r="H123" t="s">
        <v>74</v>
      </c>
      <c r="I123" t="s">
        <v>1990</v>
      </c>
      <c r="J123" t="s">
        <v>1856</v>
      </c>
      <c r="K123" t="s">
        <v>74</v>
      </c>
      <c r="L123" t="s">
        <v>74</v>
      </c>
      <c r="M123" t="s">
        <v>77</v>
      </c>
      <c r="N123" t="s">
        <v>103</v>
      </c>
      <c r="O123" t="s">
        <v>74</v>
      </c>
      <c r="P123" t="s">
        <v>74</v>
      </c>
      <c r="Q123" t="s">
        <v>74</v>
      </c>
      <c r="R123" t="s">
        <v>74</v>
      </c>
      <c r="S123" t="s">
        <v>74</v>
      </c>
      <c r="T123" t="s">
        <v>1991</v>
      </c>
      <c r="U123" t="s">
        <v>1992</v>
      </c>
      <c r="V123" t="s">
        <v>1993</v>
      </c>
      <c r="W123" t="s">
        <v>1994</v>
      </c>
      <c r="X123" t="s">
        <v>1995</v>
      </c>
      <c r="Y123" t="s">
        <v>1996</v>
      </c>
      <c r="Z123" t="s">
        <v>1997</v>
      </c>
      <c r="AA123" t="s">
        <v>74</v>
      </c>
      <c r="AB123" t="s">
        <v>74</v>
      </c>
      <c r="AC123" t="s">
        <v>74</v>
      </c>
      <c r="AD123" t="s">
        <v>74</v>
      </c>
      <c r="AE123" t="s">
        <v>74</v>
      </c>
      <c r="AF123" t="s">
        <v>74</v>
      </c>
      <c r="AG123">
        <v>34</v>
      </c>
      <c r="AH123">
        <v>37</v>
      </c>
      <c r="AI123">
        <v>45</v>
      </c>
      <c r="AJ123">
        <v>0</v>
      </c>
      <c r="AK123">
        <v>9</v>
      </c>
      <c r="AL123" t="s">
        <v>1866</v>
      </c>
      <c r="AM123" t="s">
        <v>1867</v>
      </c>
      <c r="AN123" t="s">
        <v>1868</v>
      </c>
      <c r="AO123" t="s">
        <v>1869</v>
      </c>
      <c r="AP123" t="s">
        <v>1870</v>
      </c>
      <c r="AQ123" t="s">
        <v>74</v>
      </c>
      <c r="AR123" t="s">
        <v>1871</v>
      </c>
      <c r="AS123" t="s">
        <v>1872</v>
      </c>
      <c r="AT123" t="s">
        <v>74</v>
      </c>
      <c r="AU123">
        <v>1999</v>
      </c>
      <c r="AV123">
        <v>187</v>
      </c>
      <c r="AW123" t="s">
        <v>74</v>
      </c>
      <c r="AX123" t="s">
        <v>74</v>
      </c>
      <c r="AY123" t="s">
        <v>74</v>
      </c>
      <c r="AZ123" t="s">
        <v>74</v>
      </c>
      <c r="BA123" t="s">
        <v>74</v>
      </c>
      <c r="BB123">
        <v>171</v>
      </c>
      <c r="BC123">
        <v>178</v>
      </c>
      <c r="BD123" t="s">
        <v>74</v>
      </c>
      <c r="BE123" t="s">
        <v>1998</v>
      </c>
      <c r="BF123" t="str">
        <f>HYPERLINK("http://dx.doi.org/10.3354/meps187171","http://dx.doi.org/10.3354/meps187171")</f>
        <v>http://dx.doi.org/10.3354/meps187171</v>
      </c>
      <c r="BG123" t="s">
        <v>74</v>
      </c>
      <c r="BH123" t="s">
        <v>74</v>
      </c>
      <c r="BI123">
        <v>8</v>
      </c>
      <c r="BJ123" t="s">
        <v>1874</v>
      </c>
      <c r="BK123" t="s">
        <v>95</v>
      </c>
      <c r="BL123" t="s">
        <v>1875</v>
      </c>
      <c r="BM123" t="s">
        <v>1974</v>
      </c>
      <c r="BN123" t="s">
        <v>74</v>
      </c>
      <c r="BO123" t="s">
        <v>1999</v>
      </c>
      <c r="BP123" t="s">
        <v>74</v>
      </c>
      <c r="BQ123" t="s">
        <v>74</v>
      </c>
      <c r="BR123" t="s">
        <v>98</v>
      </c>
      <c r="BS123" t="s">
        <v>2000</v>
      </c>
      <c r="BT123" t="str">
        <f>HYPERLINK("https%3A%2F%2Fwww.webofscience.com%2Fwos%2Fwoscc%2Ffull-record%2FWOS:000083830200015","View Full Record in Web of Science")</f>
        <v>View Full Record in Web of Science</v>
      </c>
    </row>
    <row r="124" spans="1:72" x14ac:dyDescent="0.15">
      <c r="A124" t="s">
        <v>72</v>
      </c>
      <c r="B124" t="s">
        <v>2001</v>
      </c>
      <c r="C124" t="s">
        <v>74</v>
      </c>
      <c r="D124" t="s">
        <v>74</v>
      </c>
      <c r="E124" t="s">
        <v>74</v>
      </c>
      <c r="F124" t="s">
        <v>2001</v>
      </c>
      <c r="G124" t="s">
        <v>74</v>
      </c>
      <c r="H124" t="s">
        <v>74</v>
      </c>
      <c r="I124" t="s">
        <v>2002</v>
      </c>
      <c r="J124" t="s">
        <v>1856</v>
      </c>
      <c r="K124" t="s">
        <v>74</v>
      </c>
      <c r="L124" t="s">
        <v>74</v>
      </c>
      <c r="M124" t="s">
        <v>77</v>
      </c>
      <c r="N124" t="s">
        <v>103</v>
      </c>
      <c r="O124" t="s">
        <v>74</v>
      </c>
      <c r="P124" t="s">
        <v>74</v>
      </c>
      <c r="Q124" t="s">
        <v>74</v>
      </c>
      <c r="R124" t="s">
        <v>74</v>
      </c>
      <c r="S124" t="s">
        <v>74</v>
      </c>
      <c r="T124" t="s">
        <v>2003</v>
      </c>
      <c r="U124" t="s">
        <v>2004</v>
      </c>
      <c r="V124" t="s">
        <v>2005</v>
      </c>
      <c r="W124" t="s">
        <v>2006</v>
      </c>
      <c r="X124" t="s">
        <v>2007</v>
      </c>
      <c r="Y124" t="s">
        <v>2008</v>
      </c>
      <c r="Z124" t="s">
        <v>2009</v>
      </c>
      <c r="AA124" t="s">
        <v>74</v>
      </c>
      <c r="AB124" t="s">
        <v>74</v>
      </c>
      <c r="AC124" t="s">
        <v>74</v>
      </c>
      <c r="AD124" t="s">
        <v>74</v>
      </c>
      <c r="AE124" t="s">
        <v>74</v>
      </c>
      <c r="AF124" t="s">
        <v>74</v>
      </c>
      <c r="AG124">
        <v>58</v>
      </c>
      <c r="AH124">
        <v>52</v>
      </c>
      <c r="AI124">
        <v>56</v>
      </c>
      <c r="AJ124">
        <v>0</v>
      </c>
      <c r="AK124">
        <v>18</v>
      </c>
      <c r="AL124" t="s">
        <v>1866</v>
      </c>
      <c r="AM124" t="s">
        <v>1867</v>
      </c>
      <c r="AN124" t="s">
        <v>1868</v>
      </c>
      <c r="AO124" t="s">
        <v>1869</v>
      </c>
      <c r="AP124" t="s">
        <v>1870</v>
      </c>
      <c r="AQ124" t="s">
        <v>74</v>
      </c>
      <c r="AR124" t="s">
        <v>1871</v>
      </c>
      <c r="AS124" t="s">
        <v>1872</v>
      </c>
      <c r="AT124" t="s">
        <v>74</v>
      </c>
      <c r="AU124">
        <v>1999</v>
      </c>
      <c r="AV124">
        <v>187</v>
      </c>
      <c r="AW124" t="s">
        <v>74</v>
      </c>
      <c r="AX124" t="s">
        <v>74</v>
      </c>
      <c r="AY124" t="s">
        <v>74</v>
      </c>
      <c r="AZ124" t="s">
        <v>74</v>
      </c>
      <c r="BA124" t="s">
        <v>74</v>
      </c>
      <c r="BB124">
        <v>251</v>
      </c>
      <c r="BC124">
        <v>263</v>
      </c>
      <c r="BD124" t="s">
        <v>74</v>
      </c>
      <c r="BE124" t="s">
        <v>2010</v>
      </c>
      <c r="BF124" t="str">
        <f>HYPERLINK("http://dx.doi.org/10.3354/meps187251","http://dx.doi.org/10.3354/meps187251")</f>
        <v>http://dx.doi.org/10.3354/meps187251</v>
      </c>
      <c r="BG124" t="s">
        <v>74</v>
      </c>
      <c r="BH124" t="s">
        <v>74</v>
      </c>
      <c r="BI124">
        <v>13</v>
      </c>
      <c r="BJ124" t="s">
        <v>1874</v>
      </c>
      <c r="BK124" t="s">
        <v>95</v>
      </c>
      <c r="BL124" t="s">
        <v>1875</v>
      </c>
      <c r="BM124" t="s">
        <v>1974</v>
      </c>
      <c r="BN124" t="s">
        <v>74</v>
      </c>
      <c r="BO124" t="s">
        <v>1089</v>
      </c>
      <c r="BP124" t="s">
        <v>74</v>
      </c>
      <c r="BQ124" t="s">
        <v>74</v>
      </c>
      <c r="BR124" t="s">
        <v>98</v>
      </c>
      <c r="BS124" t="s">
        <v>2011</v>
      </c>
      <c r="BT124" t="str">
        <f>HYPERLINK("https%3A%2F%2Fwww.webofscience.com%2Fwos%2Fwoscc%2Ffull-record%2FWOS:000083830200022","View Full Record in Web of Science")</f>
        <v>View Full Record in Web of Science</v>
      </c>
    </row>
    <row r="125" spans="1:72" x14ac:dyDescent="0.15">
      <c r="A125" t="s">
        <v>72</v>
      </c>
      <c r="B125" t="s">
        <v>2012</v>
      </c>
      <c r="C125" t="s">
        <v>74</v>
      </c>
      <c r="D125" t="s">
        <v>74</v>
      </c>
      <c r="E125" t="s">
        <v>74</v>
      </c>
      <c r="F125" t="s">
        <v>2012</v>
      </c>
      <c r="G125" t="s">
        <v>74</v>
      </c>
      <c r="H125" t="s">
        <v>74</v>
      </c>
      <c r="I125" t="s">
        <v>2013</v>
      </c>
      <c r="J125" t="s">
        <v>1856</v>
      </c>
      <c r="K125" t="s">
        <v>74</v>
      </c>
      <c r="L125" t="s">
        <v>74</v>
      </c>
      <c r="M125" t="s">
        <v>77</v>
      </c>
      <c r="N125" t="s">
        <v>103</v>
      </c>
      <c r="O125" t="s">
        <v>74</v>
      </c>
      <c r="P125" t="s">
        <v>74</v>
      </c>
      <c r="Q125" t="s">
        <v>74</v>
      </c>
      <c r="R125" t="s">
        <v>74</v>
      </c>
      <c r="S125" t="s">
        <v>74</v>
      </c>
      <c r="T125" t="s">
        <v>2014</v>
      </c>
      <c r="U125" t="s">
        <v>2015</v>
      </c>
      <c r="V125" t="s">
        <v>2016</v>
      </c>
      <c r="W125" t="s">
        <v>2017</v>
      </c>
      <c r="X125" t="s">
        <v>2018</v>
      </c>
      <c r="Y125" t="s">
        <v>2019</v>
      </c>
      <c r="Z125" t="s">
        <v>2020</v>
      </c>
      <c r="AA125" t="s">
        <v>74</v>
      </c>
      <c r="AB125" t="s">
        <v>74</v>
      </c>
      <c r="AC125" t="s">
        <v>74</v>
      </c>
      <c r="AD125" t="s">
        <v>74</v>
      </c>
      <c r="AE125" t="s">
        <v>74</v>
      </c>
      <c r="AF125" t="s">
        <v>74</v>
      </c>
      <c r="AG125">
        <v>48</v>
      </c>
      <c r="AH125">
        <v>120</v>
      </c>
      <c r="AI125">
        <v>125</v>
      </c>
      <c r="AJ125">
        <v>0</v>
      </c>
      <c r="AK125">
        <v>24</v>
      </c>
      <c r="AL125" t="s">
        <v>1866</v>
      </c>
      <c r="AM125" t="s">
        <v>1867</v>
      </c>
      <c r="AN125" t="s">
        <v>1868</v>
      </c>
      <c r="AO125" t="s">
        <v>1869</v>
      </c>
      <c r="AP125" t="s">
        <v>74</v>
      </c>
      <c r="AQ125" t="s">
        <v>74</v>
      </c>
      <c r="AR125" t="s">
        <v>1871</v>
      </c>
      <c r="AS125" t="s">
        <v>1872</v>
      </c>
      <c r="AT125" t="s">
        <v>74</v>
      </c>
      <c r="AU125">
        <v>1999</v>
      </c>
      <c r="AV125">
        <v>186</v>
      </c>
      <c r="AW125" t="s">
        <v>74</v>
      </c>
      <c r="AX125" t="s">
        <v>74</v>
      </c>
      <c r="AY125" t="s">
        <v>74</v>
      </c>
      <c r="AZ125" t="s">
        <v>74</v>
      </c>
      <c r="BA125" t="s">
        <v>74</v>
      </c>
      <c r="BB125">
        <v>1</v>
      </c>
      <c r="BC125">
        <v>8</v>
      </c>
      <c r="BD125" t="s">
        <v>74</v>
      </c>
      <c r="BE125" t="s">
        <v>2021</v>
      </c>
      <c r="BF125" t="str">
        <f>HYPERLINK("http://dx.doi.org/10.3354/meps186001","http://dx.doi.org/10.3354/meps186001")</f>
        <v>http://dx.doi.org/10.3354/meps186001</v>
      </c>
      <c r="BG125" t="s">
        <v>74</v>
      </c>
      <c r="BH125" t="s">
        <v>74</v>
      </c>
      <c r="BI125">
        <v>8</v>
      </c>
      <c r="BJ125" t="s">
        <v>1874</v>
      </c>
      <c r="BK125" t="s">
        <v>95</v>
      </c>
      <c r="BL125" t="s">
        <v>1875</v>
      </c>
      <c r="BM125" t="s">
        <v>2022</v>
      </c>
      <c r="BN125" t="s">
        <v>74</v>
      </c>
      <c r="BO125" t="s">
        <v>1089</v>
      </c>
      <c r="BP125" t="s">
        <v>74</v>
      </c>
      <c r="BQ125" t="s">
        <v>74</v>
      </c>
      <c r="BR125" t="s">
        <v>98</v>
      </c>
      <c r="BS125" t="s">
        <v>2023</v>
      </c>
      <c r="BT125" t="str">
        <f>HYPERLINK("https%3A%2F%2Fwww.webofscience.com%2Fwos%2Fwoscc%2Ffull-record%2FWOS:000083230100001","View Full Record in Web of Science")</f>
        <v>View Full Record in Web of Science</v>
      </c>
    </row>
    <row r="126" spans="1:72" x14ac:dyDescent="0.15">
      <c r="A126" t="s">
        <v>72</v>
      </c>
      <c r="B126" t="s">
        <v>2024</v>
      </c>
      <c r="C126" t="s">
        <v>74</v>
      </c>
      <c r="D126" t="s">
        <v>74</v>
      </c>
      <c r="E126" t="s">
        <v>74</v>
      </c>
      <c r="F126" t="s">
        <v>2024</v>
      </c>
      <c r="G126" t="s">
        <v>74</v>
      </c>
      <c r="H126" t="s">
        <v>74</v>
      </c>
      <c r="I126" t="s">
        <v>2025</v>
      </c>
      <c r="J126" t="s">
        <v>1856</v>
      </c>
      <c r="K126" t="s">
        <v>74</v>
      </c>
      <c r="L126" t="s">
        <v>74</v>
      </c>
      <c r="M126" t="s">
        <v>77</v>
      </c>
      <c r="N126" t="s">
        <v>103</v>
      </c>
      <c r="O126" t="s">
        <v>74</v>
      </c>
      <c r="P126" t="s">
        <v>74</v>
      </c>
      <c r="Q126" t="s">
        <v>74</v>
      </c>
      <c r="R126" t="s">
        <v>74</v>
      </c>
      <c r="S126" t="s">
        <v>74</v>
      </c>
      <c r="T126" t="s">
        <v>2026</v>
      </c>
      <c r="U126" t="s">
        <v>2027</v>
      </c>
      <c r="V126" t="s">
        <v>2028</v>
      </c>
      <c r="W126" t="s">
        <v>2029</v>
      </c>
      <c r="X126" t="s">
        <v>2030</v>
      </c>
      <c r="Y126" t="s">
        <v>2031</v>
      </c>
      <c r="Z126" t="s">
        <v>2032</v>
      </c>
      <c r="AA126" t="s">
        <v>74</v>
      </c>
      <c r="AB126" t="s">
        <v>74</v>
      </c>
      <c r="AC126" t="s">
        <v>74</v>
      </c>
      <c r="AD126" t="s">
        <v>74</v>
      </c>
      <c r="AE126" t="s">
        <v>74</v>
      </c>
      <c r="AF126" t="s">
        <v>74</v>
      </c>
      <c r="AG126">
        <v>17</v>
      </c>
      <c r="AH126">
        <v>90</v>
      </c>
      <c r="AI126">
        <v>111</v>
      </c>
      <c r="AJ126">
        <v>1</v>
      </c>
      <c r="AK126">
        <v>33</v>
      </c>
      <c r="AL126" t="s">
        <v>1866</v>
      </c>
      <c r="AM126" t="s">
        <v>1867</v>
      </c>
      <c r="AN126" t="s">
        <v>1868</v>
      </c>
      <c r="AO126" t="s">
        <v>1869</v>
      </c>
      <c r="AP126" t="s">
        <v>74</v>
      </c>
      <c r="AQ126" t="s">
        <v>74</v>
      </c>
      <c r="AR126" t="s">
        <v>1871</v>
      </c>
      <c r="AS126" t="s">
        <v>1872</v>
      </c>
      <c r="AT126" t="s">
        <v>74</v>
      </c>
      <c r="AU126">
        <v>1999</v>
      </c>
      <c r="AV126">
        <v>184</v>
      </c>
      <c r="AW126" t="s">
        <v>74</v>
      </c>
      <c r="AX126" t="s">
        <v>74</v>
      </c>
      <c r="AY126" t="s">
        <v>74</v>
      </c>
      <c r="AZ126" t="s">
        <v>74</v>
      </c>
      <c r="BA126" t="s">
        <v>74</v>
      </c>
      <c r="BB126">
        <v>1</v>
      </c>
      <c r="BC126">
        <v>10</v>
      </c>
      <c r="BD126" t="s">
        <v>74</v>
      </c>
      <c r="BE126" t="s">
        <v>2033</v>
      </c>
      <c r="BF126" t="str">
        <f>HYPERLINK("http://dx.doi.org/10.3354/meps184001","http://dx.doi.org/10.3354/meps184001")</f>
        <v>http://dx.doi.org/10.3354/meps184001</v>
      </c>
      <c r="BG126" t="s">
        <v>74</v>
      </c>
      <c r="BH126" t="s">
        <v>74</v>
      </c>
      <c r="BI126">
        <v>10</v>
      </c>
      <c r="BJ126" t="s">
        <v>1874</v>
      </c>
      <c r="BK126" t="s">
        <v>95</v>
      </c>
      <c r="BL126" t="s">
        <v>1875</v>
      </c>
      <c r="BM126" t="s">
        <v>2034</v>
      </c>
      <c r="BN126" t="s">
        <v>74</v>
      </c>
      <c r="BO126" t="s">
        <v>1089</v>
      </c>
      <c r="BP126" t="s">
        <v>74</v>
      </c>
      <c r="BQ126" t="s">
        <v>74</v>
      </c>
      <c r="BR126" t="s">
        <v>98</v>
      </c>
      <c r="BS126" t="s">
        <v>2035</v>
      </c>
      <c r="BT126" t="str">
        <f>HYPERLINK("https%3A%2F%2Fwww.webofscience.com%2Fwos%2Fwoscc%2Ffull-record%2FWOS:000082207800003","View Full Record in Web of Science")</f>
        <v>View Full Record in Web of Science</v>
      </c>
    </row>
    <row r="127" spans="1:72" x14ac:dyDescent="0.15">
      <c r="A127" t="s">
        <v>72</v>
      </c>
      <c r="B127" t="s">
        <v>2036</v>
      </c>
      <c r="C127" t="s">
        <v>74</v>
      </c>
      <c r="D127" t="s">
        <v>74</v>
      </c>
      <c r="E127" t="s">
        <v>74</v>
      </c>
      <c r="F127" t="s">
        <v>2036</v>
      </c>
      <c r="G127" t="s">
        <v>74</v>
      </c>
      <c r="H127" t="s">
        <v>74</v>
      </c>
      <c r="I127" t="s">
        <v>2037</v>
      </c>
      <c r="J127" t="s">
        <v>1856</v>
      </c>
      <c r="K127" t="s">
        <v>74</v>
      </c>
      <c r="L127" t="s">
        <v>74</v>
      </c>
      <c r="M127" t="s">
        <v>77</v>
      </c>
      <c r="N127" t="s">
        <v>103</v>
      </c>
      <c r="O127" t="s">
        <v>74</v>
      </c>
      <c r="P127" t="s">
        <v>74</v>
      </c>
      <c r="Q127" t="s">
        <v>74</v>
      </c>
      <c r="R127" t="s">
        <v>74</v>
      </c>
      <c r="S127" t="s">
        <v>74</v>
      </c>
      <c r="T127" t="s">
        <v>2038</v>
      </c>
      <c r="U127" t="s">
        <v>2039</v>
      </c>
      <c r="V127" t="s">
        <v>2040</v>
      </c>
      <c r="W127" t="s">
        <v>2041</v>
      </c>
      <c r="X127" t="s">
        <v>74</v>
      </c>
      <c r="Y127" t="s">
        <v>2042</v>
      </c>
      <c r="Z127" t="s">
        <v>2043</v>
      </c>
      <c r="AA127" t="s">
        <v>74</v>
      </c>
      <c r="AB127" t="s">
        <v>74</v>
      </c>
      <c r="AC127" t="s">
        <v>74</v>
      </c>
      <c r="AD127" t="s">
        <v>74</v>
      </c>
      <c r="AE127" t="s">
        <v>74</v>
      </c>
      <c r="AF127" t="s">
        <v>74</v>
      </c>
      <c r="AG127">
        <v>36</v>
      </c>
      <c r="AH127">
        <v>42</v>
      </c>
      <c r="AI127">
        <v>50</v>
      </c>
      <c r="AJ127">
        <v>3</v>
      </c>
      <c r="AK127">
        <v>32</v>
      </c>
      <c r="AL127" t="s">
        <v>1866</v>
      </c>
      <c r="AM127" t="s">
        <v>1867</v>
      </c>
      <c r="AN127" t="s">
        <v>1868</v>
      </c>
      <c r="AO127" t="s">
        <v>1869</v>
      </c>
      <c r="AP127" t="s">
        <v>74</v>
      </c>
      <c r="AQ127" t="s">
        <v>74</v>
      </c>
      <c r="AR127" t="s">
        <v>1871</v>
      </c>
      <c r="AS127" t="s">
        <v>1872</v>
      </c>
      <c r="AT127" t="s">
        <v>74</v>
      </c>
      <c r="AU127">
        <v>1999</v>
      </c>
      <c r="AV127">
        <v>184</v>
      </c>
      <c r="AW127" t="s">
        <v>74</v>
      </c>
      <c r="AX127" t="s">
        <v>74</v>
      </c>
      <c r="AY127" t="s">
        <v>74</v>
      </c>
      <c r="AZ127" t="s">
        <v>74</v>
      </c>
      <c r="BA127" t="s">
        <v>74</v>
      </c>
      <c r="BB127">
        <v>291</v>
      </c>
      <c r="BC127">
        <v>301</v>
      </c>
      <c r="BD127" t="s">
        <v>74</v>
      </c>
      <c r="BE127" t="s">
        <v>2044</v>
      </c>
      <c r="BF127" t="str">
        <f>HYPERLINK("http://dx.doi.org/10.3354/meps184291","http://dx.doi.org/10.3354/meps184291")</f>
        <v>http://dx.doi.org/10.3354/meps184291</v>
      </c>
      <c r="BG127" t="s">
        <v>74</v>
      </c>
      <c r="BH127" t="s">
        <v>74</v>
      </c>
      <c r="BI127">
        <v>11</v>
      </c>
      <c r="BJ127" t="s">
        <v>1874</v>
      </c>
      <c r="BK127" t="s">
        <v>95</v>
      </c>
      <c r="BL127" t="s">
        <v>1875</v>
      </c>
      <c r="BM127" t="s">
        <v>2034</v>
      </c>
      <c r="BN127" t="s">
        <v>74</v>
      </c>
      <c r="BO127" t="s">
        <v>1089</v>
      </c>
      <c r="BP127" t="s">
        <v>74</v>
      </c>
      <c r="BQ127" t="s">
        <v>74</v>
      </c>
      <c r="BR127" t="s">
        <v>98</v>
      </c>
      <c r="BS127" t="s">
        <v>2045</v>
      </c>
      <c r="BT127" t="str">
        <f>HYPERLINK("https%3A%2F%2Fwww.webofscience.com%2Fwos%2Fwoscc%2Ffull-record%2FWOS:000082207800029","View Full Record in Web of Science")</f>
        <v>View Full Record in Web of Science</v>
      </c>
    </row>
    <row r="128" spans="1:72" x14ac:dyDescent="0.15">
      <c r="A128" t="s">
        <v>72</v>
      </c>
      <c r="B128" t="s">
        <v>2046</v>
      </c>
      <c r="C128" t="s">
        <v>74</v>
      </c>
      <c r="D128" t="s">
        <v>74</v>
      </c>
      <c r="E128" t="s">
        <v>74</v>
      </c>
      <c r="F128" t="s">
        <v>2046</v>
      </c>
      <c r="G128" t="s">
        <v>74</v>
      </c>
      <c r="H128" t="s">
        <v>74</v>
      </c>
      <c r="I128" t="s">
        <v>2047</v>
      </c>
      <c r="J128" t="s">
        <v>1856</v>
      </c>
      <c r="K128" t="s">
        <v>74</v>
      </c>
      <c r="L128" t="s">
        <v>74</v>
      </c>
      <c r="M128" t="s">
        <v>77</v>
      </c>
      <c r="N128" t="s">
        <v>103</v>
      </c>
      <c r="O128" t="s">
        <v>74</v>
      </c>
      <c r="P128" t="s">
        <v>74</v>
      </c>
      <c r="Q128" t="s">
        <v>74</v>
      </c>
      <c r="R128" t="s">
        <v>74</v>
      </c>
      <c r="S128" t="s">
        <v>74</v>
      </c>
      <c r="T128" t="s">
        <v>2048</v>
      </c>
      <c r="U128" t="s">
        <v>2049</v>
      </c>
      <c r="V128" t="s">
        <v>2050</v>
      </c>
      <c r="W128" t="s">
        <v>2051</v>
      </c>
      <c r="X128" t="s">
        <v>2052</v>
      </c>
      <c r="Y128" t="s">
        <v>2053</v>
      </c>
      <c r="Z128" t="s">
        <v>2054</v>
      </c>
      <c r="AA128" t="s">
        <v>2055</v>
      </c>
      <c r="AB128" t="s">
        <v>74</v>
      </c>
      <c r="AC128" t="s">
        <v>74</v>
      </c>
      <c r="AD128" t="s">
        <v>74</v>
      </c>
      <c r="AE128" t="s">
        <v>74</v>
      </c>
      <c r="AF128" t="s">
        <v>74</v>
      </c>
      <c r="AG128">
        <v>63</v>
      </c>
      <c r="AH128">
        <v>52</v>
      </c>
      <c r="AI128">
        <v>62</v>
      </c>
      <c r="AJ128">
        <v>3</v>
      </c>
      <c r="AK128">
        <v>23</v>
      </c>
      <c r="AL128" t="s">
        <v>1866</v>
      </c>
      <c r="AM128" t="s">
        <v>1867</v>
      </c>
      <c r="AN128" t="s">
        <v>1868</v>
      </c>
      <c r="AO128" t="s">
        <v>1869</v>
      </c>
      <c r="AP128" t="s">
        <v>1870</v>
      </c>
      <c r="AQ128" t="s">
        <v>74</v>
      </c>
      <c r="AR128" t="s">
        <v>1871</v>
      </c>
      <c r="AS128" t="s">
        <v>1872</v>
      </c>
      <c r="AT128" t="s">
        <v>74</v>
      </c>
      <c r="AU128">
        <v>1999</v>
      </c>
      <c r="AV128">
        <v>183</v>
      </c>
      <c r="AW128" t="s">
        <v>74</v>
      </c>
      <c r="AX128" t="s">
        <v>74</v>
      </c>
      <c r="AY128" t="s">
        <v>74</v>
      </c>
      <c r="AZ128" t="s">
        <v>74</v>
      </c>
      <c r="BA128" t="s">
        <v>74</v>
      </c>
      <c r="BB128">
        <v>105</v>
      </c>
      <c r="BC128">
        <v>114</v>
      </c>
      <c r="BD128" t="s">
        <v>74</v>
      </c>
      <c r="BE128" t="s">
        <v>2056</v>
      </c>
      <c r="BF128" t="str">
        <f>HYPERLINK("http://dx.doi.org/10.3354/meps183105","http://dx.doi.org/10.3354/meps183105")</f>
        <v>http://dx.doi.org/10.3354/meps183105</v>
      </c>
      <c r="BG128" t="s">
        <v>74</v>
      </c>
      <c r="BH128" t="s">
        <v>74</v>
      </c>
      <c r="BI128">
        <v>10</v>
      </c>
      <c r="BJ128" t="s">
        <v>1874</v>
      </c>
      <c r="BK128" t="s">
        <v>95</v>
      </c>
      <c r="BL128" t="s">
        <v>1875</v>
      </c>
      <c r="BM128" t="s">
        <v>2057</v>
      </c>
      <c r="BN128" t="s">
        <v>74</v>
      </c>
      <c r="BO128" t="s">
        <v>1089</v>
      </c>
      <c r="BP128" t="s">
        <v>74</v>
      </c>
      <c r="BQ128" t="s">
        <v>74</v>
      </c>
      <c r="BR128" t="s">
        <v>98</v>
      </c>
      <c r="BS128" t="s">
        <v>2058</v>
      </c>
      <c r="BT128" t="str">
        <f>HYPERLINK("https%3A%2F%2Fwww.webofscience.com%2Fwos%2Fwoscc%2Ffull-record%2FWOS:000081803500010","View Full Record in Web of Science")</f>
        <v>View Full Record in Web of Science</v>
      </c>
    </row>
    <row r="129" spans="1:72" x14ac:dyDescent="0.15">
      <c r="A129" t="s">
        <v>72</v>
      </c>
      <c r="B129" t="s">
        <v>2059</v>
      </c>
      <c r="C129" t="s">
        <v>74</v>
      </c>
      <c r="D129" t="s">
        <v>74</v>
      </c>
      <c r="E129" t="s">
        <v>74</v>
      </c>
      <c r="F129" t="s">
        <v>2059</v>
      </c>
      <c r="G129" t="s">
        <v>74</v>
      </c>
      <c r="H129" t="s">
        <v>74</v>
      </c>
      <c r="I129" t="s">
        <v>2060</v>
      </c>
      <c r="J129" t="s">
        <v>1856</v>
      </c>
      <c r="K129" t="s">
        <v>74</v>
      </c>
      <c r="L129" t="s">
        <v>74</v>
      </c>
      <c r="M129" t="s">
        <v>77</v>
      </c>
      <c r="N129" t="s">
        <v>103</v>
      </c>
      <c r="O129" t="s">
        <v>74</v>
      </c>
      <c r="P129" t="s">
        <v>74</v>
      </c>
      <c r="Q129" t="s">
        <v>74</v>
      </c>
      <c r="R129" t="s">
        <v>74</v>
      </c>
      <c r="S129" t="s">
        <v>74</v>
      </c>
      <c r="T129" t="s">
        <v>2061</v>
      </c>
      <c r="U129" t="s">
        <v>2062</v>
      </c>
      <c r="V129" t="s">
        <v>2063</v>
      </c>
      <c r="W129" t="s">
        <v>2064</v>
      </c>
      <c r="X129" t="s">
        <v>2065</v>
      </c>
      <c r="Y129" t="s">
        <v>2008</v>
      </c>
      <c r="Z129" t="s">
        <v>2066</v>
      </c>
      <c r="AA129" t="s">
        <v>74</v>
      </c>
      <c r="AB129" t="s">
        <v>865</v>
      </c>
      <c r="AC129" t="s">
        <v>74</v>
      </c>
      <c r="AD129" t="s">
        <v>74</v>
      </c>
      <c r="AE129" t="s">
        <v>74</v>
      </c>
      <c r="AF129" t="s">
        <v>74</v>
      </c>
      <c r="AG129">
        <v>31</v>
      </c>
      <c r="AH129">
        <v>116</v>
      </c>
      <c r="AI129">
        <v>149</v>
      </c>
      <c r="AJ129">
        <v>3</v>
      </c>
      <c r="AK129">
        <v>26</v>
      </c>
      <c r="AL129" t="s">
        <v>1866</v>
      </c>
      <c r="AM129" t="s">
        <v>1867</v>
      </c>
      <c r="AN129" t="s">
        <v>1868</v>
      </c>
      <c r="AO129" t="s">
        <v>1869</v>
      </c>
      <c r="AP129" t="s">
        <v>1870</v>
      </c>
      <c r="AQ129" t="s">
        <v>74</v>
      </c>
      <c r="AR129" t="s">
        <v>1871</v>
      </c>
      <c r="AS129" t="s">
        <v>1872</v>
      </c>
      <c r="AT129" t="s">
        <v>74</v>
      </c>
      <c r="AU129">
        <v>1999</v>
      </c>
      <c r="AV129">
        <v>183</v>
      </c>
      <c r="AW129" t="s">
        <v>74</v>
      </c>
      <c r="AX129" t="s">
        <v>74</v>
      </c>
      <c r="AY129" t="s">
        <v>74</v>
      </c>
      <c r="AZ129" t="s">
        <v>74</v>
      </c>
      <c r="BA129" t="s">
        <v>74</v>
      </c>
      <c r="BB129">
        <v>159</v>
      </c>
      <c r="BC129">
        <v>167</v>
      </c>
      <c r="BD129" t="s">
        <v>74</v>
      </c>
      <c r="BE129" t="s">
        <v>2067</v>
      </c>
      <c r="BF129" t="str">
        <f>HYPERLINK("http://dx.doi.org/10.3354/meps183159","http://dx.doi.org/10.3354/meps183159")</f>
        <v>http://dx.doi.org/10.3354/meps183159</v>
      </c>
      <c r="BG129" t="s">
        <v>74</v>
      </c>
      <c r="BH129" t="s">
        <v>74</v>
      </c>
      <c r="BI129">
        <v>9</v>
      </c>
      <c r="BJ129" t="s">
        <v>1874</v>
      </c>
      <c r="BK129" t="s">
        <v>95</v>
      </c>
      <c r="BL129" t="s">
        <v>1875</v>
      </c>
      <c r="BM129" t="s">
        <v>2057</v>
      </c>
      <c r="BN129" t="s">
        <v>74</v>
      </c>
      <c r="BO129" t="s">
        <v>1938</v>
      </c>
      <c r="BP129" t="s">
        <v>74</v>
      </c>
      <c r="BQ129" t="s">
        <v>74</v>
      </c>
      <c r="BR129" t="s">
        <v>98</v>
      </c>
      <c r="BS129" t="s">
        <v>2068</v>
      </c>
      <c r="BT129" t="str">
        <f>HYPERLINK("https%3A%2F%2Fwww.webofscience.com%2Fwos%2Fwoscc%2Ffull-record%2FWOS:000081803500015","View Full Record in Web of Science")</f>
        <v>View Full Record in Web of Science</v>
      </c>
    </row>
    <row r="130" spans="1:72" x14ac:dyDescent="0.15">
      <c r="A130" t="s">
        <v>72</v>
      </c>
      <c r="B130" t="s">
        <v>2069</v>
      </c>
      <c r="C130" t="s">
        <v>74</v>
      </c>
      <c r="D130" t="s">
        <v>74</v>
      </c>
      <c r="E130" t="s">
        <v>74</v>
      </c>
      <c r="F130" t="s">
        <v>2069</v>
      </c>
      <c r="G130" t="s">
        <v>74</v>
      </c>
      <c r="H130" t="s">
        <v>74</v>
      </c>
      <c r="I130" t="s">
        <v>2070</v>
      </c>
      <c r="J130" t="s">
        <v>1856</v>
      </c>
      <c r="K130" t="s">
        <v>74</v>
      </c>
      <c r="L130" t="s">
        <v>74</v>
      </c>
      <c r="M130" t="s">
        <v>77</v>
      </c>
      <c r="N130" t="s">
        <v>103</v>
      </c>
      <c r="O130" t="s">
        <v>74</v>
      </c>
      <c r="P130" t="s">
        <v>74</v>
      </c>
      <c r="Q130" t="s">
        <v>74</v>
      </c>
      <c r="R130" t="s">
        <v>74</v>
      </c>
      <c r="S130" t="s">
        <v>74</v>
      </c>
      <c r="T130" t="s">
        <v>2071</v>
      </c>
      <c r="U130" t="s">
        <v>2072</v>
      </c>
      <c r="V130" t="s">
        <v>2073</v>
      </c>
      <c r="W130" t="s">
        <v>2074</v>
      </c>
      <c r="X130" t="s">
        <v>2075</v>
      </c>
      <c r="Y130" t="s">
        <v>2008</v>
      </c>
      <c r="Z130" t="s">
        <v>2076</v>
      </c>
      <c r="AA130" t="s">
        <v>2077</v>
      </c>
      <c r="AB130" t="s">
        <v>74</v>
      </c>
      <c r="AC130" t="s">
        <v>74</v>
      </c>
      <c r="AD130" t="s">
        <v>74</v>
      </c>
      <c r="AE130" t="s">
        <v>74</v>
      </c>
      <c r="AF130" t="s">
        <v>74</v>
      </c>
      <c r="AG130">
        <v>69</v>
      </c>
      <c r="AH130">
        <v>76</v>
      </c>
      <c r="AI130">
        <v>82</v>
      </c>
      <c r="AJ130">
        <v>1</v>
      </c>
      <c r="AK130">
        <v>16</v>
      </c>
      <c r="AL130" t="s">
        <v>1866</v>
      </c>
      <c r="AM130" t="s">
        <v>1867</v>
      </c>
      <c r="AN130" t="s">
        <v>1868</v>
      </c>
      <c r="AO130" t="s">
        <v>1869</v>
      </c>
      <c r="AP130" t="s">
        <v>1870</v>
      </c>
      <c r="AQ130" t="s">
        <v>74</v>
      </c>
      <c r="AR130" t="s">
        <v>1871</v>
      </c>
      <c r="AS130" t="s">
        <v>1872</v>
      </c>
      <c r="AT130" t="s">
        <v>74</v>
      </c>
      <c r="AU130">
        <v>1999</v>
      </c>
      <c r="AV130">
        <v>181</v>
      </c>
      <c r="AW130" t="s">
        <v>74</v>
      </c>
      <c r="AX130" t="s">
        <v>74</v>
      </c>
      <c r="AY130" t="s">
        <v>74</v>
      </c>
      <c r="AZ130" t="s">
        <v>74</v>
      </c>
      <c r="BA130" t="s">
        <v>74</v>
      </c>
      <c r="BB130">
        <v>177</v>
      </c>
      <c r="BC130">
        <v>188</v>
      </c>
      <c r="BD130" t="s">
        <v>74</v>
      </c>
      <c r="BE130" t="s">
        <v>2078</v>
      </c>
      <c r="BF130" t="str">
        <f>HYPERLINK("http://dx.doi.org/10.3354/meps181177","http://dx.doi.org/10.3354/meps181177")</f>
        <v>http://dx.doi.org/10.3354/meps181177</v>
      </c>
      <c r="BG130" t="s">
        <v>74</v>
      </c>
      <c r="BH130" t="s">
        <v>74</v>
      </c>
      <c r="BI130">
        <v>12</v>
      </c>
      <c r="BJ130" t="s">
        <v>1874</v>
      </c>
      <c r="BK130" t="s">
        <v>95</v>
      </c>
      <c r="BL130" t="s">
        <v>1875</v>
      </c>
      <c r="BM130" t="s">
        <v>2079</v>
      </c>
      <c r="BN130" t="s">
        <v>74</v>
      </c>
      <c r="BO130" t="s">
        <v>1089</v>
      </c>
      <c r="BP130" t="s">
        <v>74</v>
      </c>
      <c r="BQ130" t="s">
        <v>74</v>
      </c>
      <c r="BR130" t="s">
        <v>98</v>
      </c>
      <c r="BS130" t="s">
        <v>2080</v>
      </c>
      <c r="BT130" t="str">
        <f>HYPERLINK("https%3A%2F%2Fwww.webofscience.com%2Fwos%2Fwoscc%2Ffull-record%2FWOS:000080772700015","View Full Record in Web of Science")</f>
        <v>View Full Record in Web of Science</v>
      </c>
    </row>
    <row r="131" spans="1:72" x14ac:dyDescent="0.15">
      <c r="A131" t="s">
        <v>72</v>
      </c>
      <c r="B131" t="s">
        <v>2081</v>
      </c>
      <c r="C131" t="s">
        <v>74</v>
      </c>
      <c r="D131" t="s">
        <v>74</v>
      </c>
      <c r="E131" t="s">
        <v>74</v>
      </c>
      <c r="F131" t="s">
        <v>2081</v>
      </c>
      <c r="G131" t="s">
        <v>74</v>
      </c>
      <c r="H131" t="s">
        <v>74</v>
      </c>
      <c r="I131" t="s">
        <v>2082</v>
      </c>
      <c r="J131" t="s">
        <v>1856</v>
      </c>
      <c r="K131" t="s">
        <v>74</v>
      </c>
      <c r="L131" t="s">
        <v>74</v>
      </c>
      <c r="M131" t="s">
        <v>77</v>
      </c>
      <c r="N131" t="s">
        <v>103</v>
      </c>
      <c r="O131" t="s">
        <v>74</v>
      </c>
      <c r="P131" t="s">
        <v>74</v>
      </c>
      <c r="Q131" t="s">
        <v>74</v>
      </c>
      <c r="R131" t="s">
        <v>74</v>
      </c>
      <c r="S131" t="s">
        <v>74</v>
      </c>
      <c r="T131" t="s">
        <v>2083</v>
      </c>
      <c r="U131" t="s">
        <v>2084</v>
      </c>
      <c r="V131" t="s">
        <v>2085</v>
      </c>
      <c r="W131" t="s">
        <v>2086</v>
      </c>
      <c r="X131" t="s">
        <v>2087</v>
      </c>
      <c r="Y131" t="s">
        <v>2088</v>
      </c>
      <c r="Z131" t="s">
        <v>2089</v>
      </c>
      <c r="AA131" t="s">
        <v>74</v>
      </c>
      <c r="AB131" t="s">
        <v>74</v>
      </c>
      <c r="AC131" t="s">
        <v>74</v>
      </c>
      <c r="AD131" t="s">
        <v>74</v>
      </c>
      <c r="AE131" t="s">
        <v>74</v>
      </c>
      <c r="AF131" t="s">
        <v>74</v>
      </c>
      <c r="AG131">
        <v>93</v>
      </c>
      <c r="AH131">
        <v>74</v>
      </c>
      <c r="AI131">
        <v>76</v>
      </c>
      <c r="AJ131">
        <v>0</v>
      </c>
      <c r="AK131">
        <v>10</v>
      </c>
      <c r="AL131" t="s">
        <v>1866</v>
      </c>
      <c r="AM131" t="s">
        <v>1867</v>
      </c>
      <c r="AN131" t="s">
        <v>1868</v>
      </c>
      <c r="AO131" t="s">
        <v>1869</v>
      </c>
      <c r="AP131" t="s">
        <v>74</v>
      </c>
      <c r="AQ131" t="s">
        <v>74</v>
      </c>
      <c r="AR131" t="s">
        <v>1871</v>
      </c>
      <c r="AS131" t="s">
        <v>1872</v>
      </c>
      <c r="AT131" t="s">
        <v>74</v>
      </c>
      <c r="AU131">
        <v>1999</v>
      </c>
      <c r="AV131">
        <v>181</v>
      </c>
      <c r="AW131" t="s">
        <v>74</v>
      </c>
      <c r="AX131" t="s">
        <v>74</v>
      </c>
      <c r="AY131" t="s">
        <v>74</v>
      </c>
      <c r="AZ131" t="s">
        <v>74</v>
      </c>
      <c r="BA131" t="s">
        <v>74</v>
      </c>
      <c r="BB131">
        <v>237</v>
      </c>
      <c r="BC131">
        <v>256</v>
      </c>
      <c r="BD131" t="s">
        <v>74</v>
      </c>
      <c r="BE131" t="s">
        <v>2090</v>
      </c>
      <c r="BF131" t="str">
        <f>HYPERLINK("http://dx.doi.org/10.3354/meps181237","http://dx.doi.org/10.3354/meps181237")</f>
        <v>http://dx.doi.org/10.3354/meps181237</v>
      </c>
      <c r="BG131" t="s">
        <v>74</v>
      </c>
      <c r="BH131" t="s">
        <v>74</v>
      </c>
      <c r="BI131">
        <v>20</v>
      </c>
      <c r="BJ131" t="s">
        <v>1874</v>
      </c>
      <c r="BK131" t="s">
        <v>95</v>
      </c>
      <c r="BL131" t="s">
        <v>1875</v>
      </c>
      <c r="BM131" t="s">
        <v>2079</v>
      </c>
      <c r="BN131" t="s">
        <v>74</v>
      </c>
      <c r="BO131" t="s">
        <v>2091</v>
      </c>
      <c r="BP131" t="s">
        <v>74</v>
      </c>
      <c r="BQ131" t="s">
        <v>74</v>
      </c>
      <c r="BR131" t="s">
        <v>98</v>
      </c>
      <c r="BS131" t="s">
        <v>2092</v>
      </c>
      <c r="BT131" t="str">
        <f>HYPERLINK("https%3A%2F%2Fwww.webofscience.com%2Fwos%2Fwoscc%2Ffull-record%2FWOS:000080772700020","View Full Record in Web of Science")</f>
        <v>View Full Record in Web of Science</v>
      </c>
    </row>
    <row r="132" spans="1:72" x14ac:dyDescent="0.15">
      <c r="A132" t="s">
        <v>72</v>
      </c>
      <c r="B132" t="s">
        <v>2093</v>
      </c>
      <c r="C132" t="s">
        <v>74</v>
      </c>
      <c r="D132" t="s">
        <v>74</v>
      </c>
      <c r="E132" t="s">
        <v>74</v>
      </c>
      <c r="F132" t="s">
        <v>2093</v>
      </c>
      <c r="G132" t="s">
        <v>74</v>
      </c>
      <c r="H132" t="s">
        <v>74</v>
      </c>
      <c r="I132" t="s">
        <v>2094</v>
      </c>
      <c r="J132" t="s">
        <v>1856</v>
      </c>
      <c r="K132" t="s">
        <v>74</v>
      </c>
      <c r="L132" t="s">
        <v>74</v>
      </c>
      <c r="M132" t="s">
        <v>77</v>
      </c>
      <c r="N132" t="s">
        <v>103</v>
      </c>
      <c r="O132" t="s">
        <v>74</v>
      </c>
      <c r="P132" t="s">
        <v>74</v>
      </c>
      <c r="Q132" t="s">
        <v>74</v>
      </c>
      <c r="R132" t="s">
        <v>74</v>
      </c>
      <c r="S132" t="s">
        <v>74</v>
      </c>
      <c r="T132" t="s">
        <v>2095</v>
      </c>
      <c r="U132" t="s">
        <v>2096</v>
      </c>
      <c r="V132" t="s">
        <v>2097</v>
      </c>
      <c r="W132" t="s">
        <v>2098</v>
      </c>
      <c r="X132" t="s">
        <v>2099</v>
      </c>
      <c r="Y132" t="s">
        <v>2100</v>
      </c>
      <c r="Z132" t="s">
        <v>2101</v>
      </c>
      <c r="AA132" t="s">
        <v>2102</v>
      </c>
      <c r="AB132" t="s">
        <v>2103</v>
      </c>
      <c r="AC132" t="s">
        <v>74</v>
      </c>
      <c r="AD132" t="s">
        <v>74</v>
      </c>
      <c r="AE132" t="s">
        <v>74</v>
      </c>
      <c r="AF132" t="s">
        <v>74</v>
      </c>
      <c r="AG132">
        <v>58</v>
      </c>
      <c r="AH132">
        <v>57</v>
      </c>
      <c r="AI132">
        <v>61</v>
      </c>
      <c r="AJ132">
        <v>0</v>
      </c>
      <c r="AK132">
        <v>14</v>
      </c>
      <c r="AL132" t="s">
        <v>1866</v>
      </c>
      <c r="AM132" t="s">
        <v>1867</v>
      </c>
      <c r="AN132" t="s">
        <v>1868</v>
      </c>
      <c r="AO132" t="s">
        <v>1869</v>
      </c>
      <c r="AP132" t="s">
        <v>74</v>
      </c>
      <c r="AQ132" t="s">
        <v>74</v>
      </c>
      <c r="AR132" t="s">
        <v>1871</v>
      </c>
      <c r="AS132" t="s">
        <v>1872</v>
      </c>
      <c r="AT132" t="s">
        <v>74</v>
      </c>
      <c r="AU132">
        <v>1999</v>
      </c>
      <c r="AV132">
        <v>180</v>
      </c>
      <c r="AW132" t="s">
        <v>74</v>
      </c>
      <c r="AX132" t="s">
        <v>74</v>
      </c>
      <c r="AY132" t="s">
        <v>74</v>
      </c>
      <c r="AZ132" t="s">
        <v>74</v>
      </c>
      <c r="BA132" t="s">
        <v>74</v>
      </c>
      <c r="BB132">
        <v>23</v>
      </c>
      <c r="BC132">
        <v>36</v>
      </c>
      <c r="BD132" t="s">
        <v>74</v>
      </c>
      <c r="BE132" t="s">
        <v>2104</v>
      </c>
      <c r="BF132" t="str">
        <f>HYPERLINK("http://dx.doi.org/10.3354/meps180023","http://dx.doi.org/10.3354/meps180023")</f>
        <v>http://dx.doi.org/10.3354/meps180023</v>
      </c>
      <c r="BG132" t="s">
        <v>74</v>
      </c>
      <c r="BH132" t="s">
        <v>74</v>
      </c>
      <c r="BI132">
        <v>14</v>
      </c>
      <c r="BJ132" t="s">
        <v>1874</v>
      </c>
      <c r="BK132" t="s">
        <v>95</v>
      </c>
      <c r="BL132" t="s">
        <v>1875</v>
      </c>
      <c r="BM132" t="s">
        <v>2105</v>
      </c>
      <c r="BN132" t="s">
        <v>74</v>
      </c>
      <c r="BO132" t="s">
        <v>1089</v>
      </c>
      <c r="BP132" t="s">
        <v>74</v>
      </c>
      <c r="BQ132" t="s">
        <v>74</v>
      </c>
      <c r="BR132" t="s">
        <v>98</v>
      </c>
      <c r="BS132" t="s">
        <v>2106</v>
      </c>
      <c r="BT132" t="str">
        <f>HYPERLINK("https%3A%2F%2Fwww.webofscience.com%2Fwos%2Fwoscc%2Ffull-record%2FWOS:000080666100003","View Full Record in Web of Science")</f>
        <v>View Full Record in Web of Science</v>
      </c>
    </row>
    <row r="133" spans="1:72" x14ac:dyDescent="0.15">
      <c r="A133" t="s">
        <v>72</v>
      </c>
      <c r="B133" t="s">
        <v>2107</v>
      </c>
      <c r="C133" t="s">
        <v>74</v>
      </c>
      <c r="D133" t="s">
        <v>74</v>
      </c>
      <c r="E133" t="s">
        <v>74</v>
      </c>
      <c r="F133" t="s">
        <v>2107</v>
      </c>
      <c r="G133" t="s">
        <v>74</v>
      </c>
      <c r="H133" t="s">
        <v>74</v>
      </c>
      <c r="I133" t="s">
        <v>2108</v>
      </c>
      <c r="J133" t="s">
        <v>1856</v>
      </c>
      <c r="K133" t="s">
        <v>74</v>
      </c>
      <c r="L133" t="s">
        <v>74</v>
      </c>
      <c r="M133" t="s">
        <v>77</v>
      </c>
      <c r="N133" t="s">
        <v>103</v>
      </c>
      <c r="O133" t="s">
        <v>74</v>
      </c>
      <c r="P133" t="s">
        <v>74</v>
      </c>
      <c r="Q133" t="s">
        <v>74</v>
      </c>
      <c r="R133" t="s">
        <v>74</v>
      </c>
      <c r="S133" t="s">
        <v>74</v>
      </c>
      <c r="T133" t="s">
        <v>2109</v>
      </c>
      <c r="U133" t="s">
        <v>2110</v>
      </c>
      <c r="V133" t="s">
        <v>2111</v>
      </c>
      <c r="W133" t="s">
        <v>508</v>
      </c>
      <c r="X133" t="s">
        <v>509</v>
      </c>
      <c r="Y133" t="s">
        <v>2112</v>
      </c>
      <c r="Z133" t="s">
        <v>2113</v>
      </c>
      <c r="AA133" t="s">
        <v>2114</v>
      </c>
      <c r="AB133" t="s">
        <v>74</v>
      </c>
      <c r="AC133" t="s">
        <v>74</v>
      </c>
      <c r="AD133" t="s">
        <v>74</v>
      </c>
      <c r="AE133" t="s">
        <v>74</v>
      </c>
      <c r="AF133" t="s">
        <v>74</v>
      </c>
      <c r="AG133">
        <v>65</v>
      </c>
      <c r="AH133">
        <v>34</v>
      </c>
      <c r="AI133">
        <v>37</v>
      </c>
      <c r="AJ133">
        <v>0</v>
      </c>
      <c r="AK133">
        <v>5</v>
      </c>
      <c r="AL133" t="s">
        <v>1866</v>
      </c>
      <c r="AM133" t="s">
        <v>1867</v>
      </c>
      <c r="AN133" t="s">
        <v>1868</v>
      </c>
      <c r="AO133" t="s">
        <v>1869</v>
      </c>
      <c r="AP133" t="s">
        <v>1870</v>
      </c>
      <c r="AQ133" t="s">
        <v>74</v>
      </c>
      <c r="AR133" t="s">
        <v>1871</v>
      </c>
      <c r="AS133" t="s">
        <v>1872</v>
      </c>
      <c r="AT133" t="s">
        <v>74</v>
      </c>
      <c r="AU133">
        <v>1999</v>
      </c>
      <c r="AV133">
        <v>177</v>
      </c>
      <c r="AW133" t="s">
        <v>74</v>
      </c>
      <c r="AX133" t="s">
        <v>74</v>
      </c>
      <c r="AY133" t="s">
        <v>74</v>
      </c>
      <c r="AZ133" t="s">
        <v>74</v>
      </c>
      <c r="BA133" t="s">
        <v>74</v>
      </c>
      <c r="BB133">
        <v>1</v>
      </c>
      <c r="BC133">
        <v>13</v>
      </c>
      <c r="BD133" t="s">
        <v>74</v>
      </c>
      <c r="BE133" t="s">
        <v>2115</v>
      </c>
      <c r="BF133" t="str">
        <f>HYPERLINK("http://dx.doi.org/10.3354/meps177001","http://dx.doi.org/10.3354/meps177001")</f>
        <v>http://dx.doi.org/10.3354/meps177001</v>
      </c>
      <c r="BG133" t="s">
        <v>74</v>
      </c>
      <c r="BH133" t="s">
        <v>74</v>
      </c>
      <c r="BI133">
        <v>13</v>
      </c>
      <c r="BJ133" t="s">
        <v>1874</v>
      </c>
      <c r="BK133" t="s">
        <v>95</v>
      </c>
      <c r="BL133" t="s">
        <v>1875</v>
      </c>
      <c r="BM133" t="s">
        <v>2116</v>
      </c>
      <c r="BN133" t="s">
        <v>74</v>
      </c>
      <c r="BO133" t="s">
        <v>1089</v>
      </c>
      <c r="BP133" t="s">
        <v>74</v>
      </c>
      <c r="BQ133" t="s">
        <v>74</v>
      </c>
      <c r="BR133" t="s">
        <v>98</v>
      </c>
      <c r="BS133" t="s">
        <v>2117</v>
      </c>
      <c r="BT133" t="str">
        <f>HYPERLINK("https%3A%2F%2Fwww.webofscience.com%2Fwos%2Fwoscc%2Ffull-record%2FWOS:000079215300001","View Full Record in Web of Science")</f>
        <v>View Full Record in Web of Science</v>
      </c>
    </row>
    <row r="134" spans="1:72" x14ac:dyDescent="0.15">
      <c r="A134" t="s">
        <v>72</v>
      </c>
      <c r="B134" t="s">
        <v>2118</v>
      </c>
      <c r="C134" t="s">
        <v>74</v>
      </c>
      <c r="D134" t="s">
        <v>74</v>
      </c>
      <c r="E134" t="s">
        <v>74</v>
      </c>
      <c r="F134" t="s">
        <v>2118</v>
      </c>
      <c r="G134" t="s">
        <v>74</v>
      </c>
      <c r="H134" t="s">
        <v>74</v>
      </c>
      <c r="I134" t="s">
        <v>2119</v>
      </c>
      <c r="J134" t="s">
        <v>1856</v>
      </c>
      <c r="K134" t="s">
        <v>74</v>
      </c>
      <c r="L134" t="s">
        <v>74</v>
      </c>
      <c r="M134" t="s">
        <v>77</v>
      </c>
      <c r="N134" t="s">
        <v>103</v>
      </c>
      <c r="O134" t="s">
        <v>74</v>
      </c>
      <c r="P134" t="s">
        <v>74</v>
      </c>
      <c r="Q134" t="s">
        <v>74</v>
      </c>
      <c r="R134" t="s">
        <v>74</v>
      </c>
      <c r="S134" t="s">
        <v>74</v>
      </c>
      <c r="T134" t="s">
        <v>2120</v>
      </c>
      <c r="U134" t="s">
        <v>2121</v>
      </c>
      <c r="V134" t="s">
        <v>2122</v>
      </c>
      <c r="W134" t="s">
        <v>2123</v>
      </c>
      <c r="X134" t="s">
        <v>459</v>
      </c>
      <c r="Y134" t="s">
        <v>2124</v>
      </c>
      <c r="Z134" t="s">
        <v>2125</v>
      </c>
      <c r="AA134" t="s">
        <v>2126</v>
      </c>
      <c r="AB134" t="s">
        <v>2127</v>
      </c>
      <c r="AC134" t="s">
        <v>74</v>
      </c>
      <c r="AD134" t="s">
        <v>74</v>
      </c>
      <c r="AE134" t="s">
        <v>74</v>
      </c>
      <c r="AF134" t="s">
        <v>74</v>
      </c>
      <c r="AG134">
        <v>85</v>
      </c>
      <c r="AH134">
        <v>88</v>
      </c>
      <c r="AI134">
        <v>98</v>
      </c>
      <c r="AJ134">
        <v>0</v>
      </c>
      <c r="AK134">
        <v>20</v>
      </c>
      <c r="AL134" t="s">
        <v>1866</v>
      </c>
      <c r="AM134" t="s">
        <v>1867</v>
      </c>
      <c r="AN134" t="s">
        <v>1868</v>
      </c>
      <c r="AO134" t="s">
        <v>1869</v>
      </c>
      <c r="AP134" t="s">
        <v>74</v>
      </c>
      <c r="AQ134" t="s">
        <v>74</v>
      </c>
      <c r="AR134" t="s">
        <v>1871</v>
      </c>
      <c r="AS134" t="s">
        <v>1872</v>
      </c>
      <c r="AT134" t="s">
        <v>74</v>
      </c>
      <c r="AU134">
        <v>1999</v>
      </c>
      <c r="AV134">
        <v>177</v>
      </c>
      <c r="AW134" t="s">
        <v>74</v>
      </c>
      <c r="AX134" t="s">
        <v>74</v>
      </c>
      <c r="AY134" t="s">
        <v>74</v>
      </c>
      <c r="AZ134" t="s">
        <v>74</v>
      </c>
      <c r="BA134" t="s">
        <v>74</v>
      </c>
      <c r="BB134">
        <v>15</v>
      </c>
      <c r="BC134">
        <v>26</v>
      </c>
      <c r="BD134" t="s">
        <v>74</v>
      </c>
      <c r="BE134" t="s">
        <v>2128</v>
      </c>
      <c r="BF134" t="str">
        <f>HYPERLINK("http://dx.doi.org/10.3354/meps177015","http://dx.doi.org/10.3354/meps177015")</f>
        <v>http://dx.doi.org/10.3354/meps177015</v>
      </c>
      <c r="BG134" t="s">
        <v>74</v>
      </c>
      <c r="BH134" t="s">
        <v>74</v>
      </c>
      <c r="BI134">
        <v>12</v>
      </c>
      <c r="BJ134" t="s">
        <v>1874</v>
      </c>
      <c r="BK134" t="s">
        <v>95</v>
      </c>
      <c r="BL134" t="s">
        <v>1875</v>
      </c>
      <c r="BM134" t="s">
        <v>2116</v>
      </c>
      <c r="BN134" t="s">
        <v>74</v>
      </c>
      <c r="BO134" t="s">
        <v>1089</v>
      </c>
      <c r="BP134" t="s">
        <v>74</v>
      </c>
      <c r="BQ134" t="s">
        <v>74</v>
      </c>
      <c r="BR134" t="s">
        <v>98</v>
      </c>
      <c r="BS134" t="s">
        <v>2129</v>
      </c>
      <c r="BT134" t="str">
        <f>HYPERLINK("https%3A%2F%2Fwww.webofscience.com%2Fwos%2Fwoscc%2Ffull-record%2FWOS:000079215300002","View Full Record in Web of Science")</f>
        <v>View Full Record in Web of Science</v>
      </c>
    </row>
    <row r="135" spans="1:72" x14ac:dyDescent="0.15">
      <c r="A135" t="s">
        <v>72</v>
      </c>
      <c r="B135" t="s">
        <v>2130</v>
      </c>
      <c r="C135" t="s">
        <v>74</v>
      </c>
      <c r="D135" t="s">
        <v>74</v>
      </c>
      <c r="E135" t="s">
        <v>74</v>
      </c>
      <c r="F135" t="s">
        <v>2130</v>
      </c>
      <c r="G135" t="s">
        <v>74</v>
      </c>
      <c r="H135" t="s">
        <v>74</v>
      </c>
      <c r="I135" t="s">
        <v>2131</v>
      </c>
      <c r="J135" t="s">
        <v>1856</v>
      </c>
      <c r="K135" t="s">
        <v>74</v>
      </c>
      <c r="L135" t="s">
        <v>74</v>
      </c>
      <c r="M135" t="s">
        <v>77</v>
      </c>
      <c r="N135" t="s">
        <v>103</v>
      </c>
      <c r="O135" t="s">
        <v>74</v>
      </c>
      <c r="P135" t="s">
        <v>74</v>
      </c>
      <c r="Q135" t="s">
        <v>74</v>
      </c>
      <c r="R135" t="s">
        <v>74</v>
      </c>
      <c r="S135" t="s">
        <v>74</v>
      </c>
      <c r="T135" t="s">
        <v>2132</v>
      </c>
      <c r="U135" t="s">
        <v>2133</v>
      </c>
      <c r="V135" t="s">
        <v>2134</v>
      </c>
      <c r="W135" t="s">
        <v>944</v>
      </c>
      <c r="X135" t="s">
        <v>628</v>
      </c>
      <c r="Y135" t="s">
        <v>2135</v>
      </c>
      <c r="Z135" t="s">
        <v>2136</v>
      </c>
      <c r="AA135" t="s">
        <v>864</v>
      </c>
      <c r="AB135" t="s">
        <v>74</v>
      </c>
      <c r="AC135" t="s">
        <v>74</v>
      </c>
      <c r="AD135" t="s">
        <v>74</v>
      </c>
      <c r="AE135" t="s">
        <v>74</v>
      </c>
      <c r="AF135" t="s">
        <v>74</v>
      </c>
      <c r="AG135">
        <v>25</v>
      </c>
      <c r="AH135">
        <v>67</v>
      </c>
      <c r="AI135">
        <v>71</v>
      </c>
      <c r="AJ135">
        <v>0</v>
      </c>
      <c r="AK135">
        <v>15</v>
      </c>
      <c r="AL135" t="s">
        <v>1866</v>
      </c>
      <c r="AM135" t="s">
        <v>1867</v>
      </c>
      <c r="AN135" t="s">
        <v>1868</v>
      </c>
      <c r="AO135" t="s">
        <v>1869</v>
      </c>
      <c r="AP135" t="s">
        <v>74</v>
      </c>
      <c r="AQ135" t="s">
        <v>74</v>
      </c>
      <c r="AR135" t="s">
        <v>1871</v>
      </c>
      <c r="AS135" t="s">
        <v>1872</v>
      </c>
      <c r="AT135" t="s">
        <v>74</v>
      </c>
      <c r="AU135">
        <v>1999</v>
      </c>
      <c r="AV135">
        <v>177</v>
      </c>
      <c r="AW135" t="s">
        <v>74</v>
      </c>
      <c r="AX135" t="s">
        <v>74</v>
      </c>
      <c r="AY135" t="s">
        <v>74</v>
      </c>
      <c r="AZ135" t="s">
        <v>74</v>
      </c>
      <c r="BA135" t="s">
        <v>74</v>
      </c>
      <c r="BB135">
        <v>103</v>
      </c>
      <c r="BC135">
        <v>114</v>
      </c>
      <c r="BD135" t="s">
        <v>74</v>
      </c>
      <c r="BE135" t="s">
        <v>2137</v>
      </c>
      <c r="BF135" t="str">
        <f>HYPERLINK("http://dx.doi.org/10.3354/meps177103","http://dx.doi.org/10.3354/meps177103")</f>
        <v>http://dx.doi.org/10.3354/meps177103</v>
      </c>
      <c r="BG135" t="s">
        <v>74</v>
      </c>
      <c r="BH135" t="s">
        <v>74</v>
      </c>
      <c r="BI135">
        <v>12</v>
      </c>
      <c r="BJ135" t="s">
        <v>1874</v>
      </c>
      <c r="BK135" t="s">
        <v>95</v>
      </c>
      <c r="BL135" t="s">
        <v>1875</v>
      </c>
      <c r="BM135" t="s">
        <v>2116</v>
      </c>
      <c r="BN135" t="s">
        <v>74</v>
      </c>
      <c r="BO135" t="s">
        <v>1089</v>
      </c>
      <c r="BP135" t="s">
        <v>74</v>
      </c>
      <c r="BQ135" t="s">
        <v>74</v>
      </c>
      <c r="BR135" t="s">
        <v>98</v>
      </c>
      <c r="BS135" t="s">
        <v>2138</v>
      </c>
      <c r="BT135" t="str">
        <f>HYPERLINK("https%3A%2F%2Fwww.webofscience.com%2Fwos%2Fwoscc%2Ffull-record%2FWOS:000079215300010","View Full Record in Web of Science")</f>
        <v>View Full Record in Web of Science</v>
      </c>
    </row>
    <row r="136" spans="1:72" x14ac:dyDescent="0.15">
      <c r="A136" t="s">
        <v>72</v>
      </c>
      <c r="B136" t="s">
        <v>2139</v>
      </c>
      <c r="C136" t="s">
        <v>74</v>
      </c>
      <c r="D136" t="s">
        <v>74</v>
      </c>
      <c r="E136" t="s">
        <v>74</v>
      </c>
      <c r="F136" t="s">
        <v>2139</v>
      </c>
      <c r="G136" t="s">
        <v>74</v>
      </c>
      <c r="H136" t="s">
        <v>74</v>
      </c>
      <c r="I136" t="s">
        <v>2140</v>
      </c>
      <c r="J136" t="s">
        <v>1856</v>
      </c>
      <c r="K136" t="s">
        <v>74</v>
      </c>
      <c r="L136" t="s">
        <v>74</v>
      </c>
      <c r="M136" t="s">
        <v>77</v>
      </c>
      <c r="N136" t="s">
        <v>103</v>
      </c>
      <c r="O136" t="s">
        <v>74</v>
      </c>
      <c r="P136" t="s">
        <v>74</v>
      </c>
      <c r="Q136" t="s">
        <v>74</v>
      </c>
      <c r="R136" t="s">
        <v>74</v>
      </c>
      <c r="S136" t="s">
        <v>74</v>
      </c>
      <c r="T136" t="s">
        <v>2141</v>
      </c>
      <c r="U136" t="s">
        <v>2142</v>
      </c>
      <c r="V136" t="s">
        <v>2143</v>
      </c>
      <c r="W136" t="s">
        <v>944</v>
      </c>
      <c r="X136" t="s">
        <v>628</v>
      </c>
      <c r="Y136" t="s">
        <v>2144</v>
      </c>
      <c r="Z136" t="s">
        <v>2145</v>
      </c>
      <c r="AA136" t="s">
        <v>74</v>
      </c>
      <c r="AB136" t="s">
        <v>74</v>
      </c>
      <c r="AC136" t="s">
        <v>74</v>
      </c>
      <c r="AD136" t="s">
        <v>74</v>
      </c>
      <c r="AE136" t="s">
        <v>74</v>
      </c>
      <c r="AF136" t="s">
        <v>74</v>
      </c>
      <c r="AG136">
        <v>67</v>
      </c>
      <c r="AH136">
        <v>308</v>
      </c>
      <c r="AI136">
        <v>332</v>
      </c>
      <c r="AJ136">
        <v>9</v>
      </c>
      <c r="AK136">
        <v>129</v>
      </c>
      <c r="AL136" t="s">
        <v>1866</v>
      </c>
      <c r="AM136" t="s">
        <v>1867</v>
      </c>
      <c r="AN136" t="s">
        <v>1868</v>
      </c>
      <c r="AO136" t="s">
        <v>1869</v>
      </c>
      <c r="AP136" t="s">
        <v>74</v>
      </c>
      <c r="AQ136" t="s">
        <v>74</v>
      </c>
      <c r="AR136" t="s">
        <v>1871</v>
      </c>
      <c r="AS136" t="s">
        <v>1872</v>
      </c>
      <c r="AT136" t="s">
        <v>74</v>
      </c>
      <c r="AU136">
        <v>1999</v>
      </c>
      <c r="AV136">
        <v>177</v>
      </c>
      <c r="AW136" t="s">
        <v>74</v>
      </c>
      <c r="AX136" t="s">
        <v>74</v>
      </c>
      <c r="AY136" t="s">
        <v>74</v>
      </c>
      <c r="AZ136" t="s">
        <v>74</v>
      </c>
      <c r="BA136" t="s">
        <v>74</v>
      </c>
      <c r="BB136">
        <v>115</v>
      </c>
      <c r="BC136">
        <v>131</v>
      </c>
      <c r="BD136" t="s">
        <v>74</v>
      </c>
      <c r="BE136" t="s">
        <v>2146</v>
      </c>
      <c r="BF136" t="str">
        <f>HYPERLINK("http://dx.doi.org/10.3354/meps177115","http://dx.doi.org/10.3354/meps177115")</f>
        <v>http://dx.doi.org/10.3354/meps177115</v>
      </c>
      <c r="BG136" t="s">
        <v>74</v>
      </c>
      <c r="BH136" t="s">
        <v>74</v>
      </c>
      <c r="BI136">
        <v>17</v>
      </c>
      <c r="BJ136" t="s">
        <v>1874</v>
      </c>
      <c r="BK136" t="s">
        <v>95</v>
      </c>
      <c r="BL136" t="s">
        <v>1875</v>
      </c>
      <c r="BM136" t="s">
        <v>2116</v>
      </c>
      <c r="BN136" t="s">
        <v>74</v>
      </c>
      <c r="BO136" t="s">
        <v>1089</v>
      </c>
      <c r="BP136" t="s">
        <v>74</v>
      </c>
      <c r="BQ136" t="s">
        <v>74</v>
      </c>
      <c r="BR136" t="s">
        <v>98</v>
      </c>
      <c r="BS136" t="s">
        <v>2147</v>
      </c>
      <c r="BT136" t="str">
        <f>HYPERLINK("https%3A%2F%2Fwww.webofscience.com%2Fwos%2Fwoscc%2Ffull-record%2FWOS:000079215300011","View Full Record in Web of Science")</f>
        <v>View Full Record in Web of Science</v>
      </c>
    </row>
    <row r="137" spans="1:72" x14ac:dyDescent="0.15">
      <c r="A137" t="s">
        <v>72</v>
      </c>
      <c r="B137" t="s">
        <v>2148</v>
      </c>
      <c r="C137" t="s">
        <v>74</v>
      </c>
      <c r="D137" t="s">
        <v>74</v>
      </c>
      <c r="E137" t="s">
        <v>74</v>
      </c>
      <c r="F137" t="s">
        <v>2148</v>
      </c>
      <c r="G137" t="s">
        <v>74</v>
      </c>
      <c r="H137" t="s">
        <v>74</v>
      </c>
      <c r="I137" t="s">
        <v>2149</v>
      </c>
      <c r="J137" t="s">
        <v>1856</v>
      </c>
      <c r="K137" t="s">
        <v>74</v>
      </c>
      <c r="L137" t="s">
        <v>74</v>
      </c>
      <c r="M137" t="s">
        <v>77</v>
      </c>
      <c r="N137" t="s">
        <v>103</v>
      </c>
      <c r="O137" t="s">
        <v>74</v>
      </c>
      <c r="P137" t="s">
        <v>74</v>
      </c>
      <c r="Q137" t="s">
        <v>74</v>
      </c>
      <c r="R137" t="s">
        <v>74</v>
      </c>
      <c r="S137" t="s">
        <v>74</v>
      </c>
      <c r="T137" t="s">
        <v>2150</v>
      </c>
      <c r="U137" t="s">
        <v>2151</v>
      </c>
      <c r="V137" t="s">
        <v>2152</v>
      </c>
      <c r="W137" t="s">
        <v>2153</v>
      </c>
      <c r="X137" t="s">
        <v>2154</v>
      </c>
      <c r="Y137" t="s">
        <v>2155</v>
      </c>
      <c r="Z137" t="s">
        <v>2156</v>
      </c>
      <c r="AA137" t="s">
        <v>74</v>
      </c>
      <c r="AB137" t="s">
        <v>74</v>
      </c>
      <c r="AC137" t="s">
        <v>74</v>
      </c>
      <c r="AD137" t="s">
        <v>74</v>
      </c>
      <c r="AE137" t="s">
        <v>74</v>
      </c>
      <c r="AF137" t="s">
        <v>74</v>
      </c>
      <c r="AG137">
        <v>31</v>
      </c>
      <c r="AH137">
        <v>70</v>
      </c>
      <c r="AI137">
        <v>84</v>
      </c>
      <c r="AJ137">
        <v>1</v>
      </c>
      <c r="AK137">
        <v>34</v>
      </c>
      <c r="AL137" t="s">
        <v>1866</v>
      </c>
      <c r="AM137" t="s">
        <v>1867</v>
      </c>
      <c r="AN137" t="s">
        <v>1868</v>
      </c>
      <c r="AO137" t="s">
        <v>1869</v>
      </c>
      <c r="AP137" t="s">
        <v>1870</v>
      </c>
      <c r="AQ137" t="s">
        <v>74</v>
      </c>
      <c r="AR137" t="s">
        <v>1871</v>
      </c>
      <c r="AS137" t="s">
        <v>1872</v>
      </c>
      <c r="AT137" t="s">
        <v>74</v>
      </c>
      <c r="AU137">
        <v>1999</v>
      </c>
      <c r="AV137">
        <v>177</v>
      </c>
      <c r="AW137" t="s">
        <v>74</v>
      </c>
      <c r="AX137" t="s">
        <v>74</v>
      </c>
      <c r="AY137" t="s">
        <v>74</v>
      </c>
      <c r="AZ137" t="s">
        <v>74</v>
      </c>
      <c r="BA137" t="s">
        <v>74</v>
      </c>
      <c r="BB137">
        <v>235</v>
      </c>
      <c r="BC137">
        <v>241</v>
      </c>
      <c r="BD137" t="s">
        <v>74</v>
      </c>
      <c r="BE137" t="s">
        <v>2157</v>
      </c>
      <c r="BF137" t="str">
        <f>HYPERLINK("http://dx.doi.org/10.3354/meps177235","http://dx.doi.org/10.3354/meps177235")</f>
        <v>http://dx.doi.org/10.3354/meps177235</v>
      </c>
      <c r="BG137" t="s">
        <v>74</v>
      </c>
      <c r="BH137" t="s">
        <v>74</v>
      </c>
      <c r="BI137">
        <v>7</v>
      </c>
      <c r="BJ137" t="s">
        <v>1874</v>
      </c>
      <c r="BK137" t="s">
        <v>95</v>
      </c>
      <c r="BL137" t="s">
        <v>1875</v>
      </c>
      <c r="BM137" t="s">
        <v>2116</v>
      </c>
      <c r="BN137" t="s">
        <v>74</v>
      </c>
      <c r="BO137" t="s">
        <v>1089</v>
      </c>
      <c r="BP137" t="s">
        <v>74</v>
      </c>
      <c r="BQ137" t="s">
        <v>74</v>
      </c>
      <c r="BR137" t="s">
        <v>98</v>
      </c>
      <c r="BS137" t="s">
        <v>2158</v>
      </c>
      <c r="BT137" t="str">
        <f>HYPERLINK("https%3A%2F%2Fwww.webofscience.com%2Fwos%2Fwoscc%2Ffull-record%2FWOS:000079215300021","View Full Record in Web of Science")</f>
        <v>View Full Record in Web of Science</v>
      </c>
    </row>
    <row r="138" spans="1:72" x14ac:dyDescent="0.15">
      <c r="A138" t="s">
        <v>72</v>
      </c>
      <c r="B138" t="s">
        <v>2159</v>
      </c>
      <c r="C138" t="s">
        <v>74</v>
      </c>
      <c r="D138" t="s">
        <v>74</v>
      </c>
      <c r="E138" t="s">
        <v>74</v>
      </c>
      <c r="F138" t="s">
        <v>2159</v>
      </c>
      <c r="G138" t="s">
        <v>74</v>
      </c>
      <c r="H138" t="s">
        <v>74</v>
      </c>
      <c r="I138" t="s">
        <v>2160</v>
      </c>
      <c r="J138" t="s">
        <v>1856</v>
      </c>
      <c r="K138" t="s">
        <v>74</v>
      </c>
      <c r="L138" t="s">
        <v>74</v>
      </c>
      <c r="M138" t="s">
        <v>77</v>
      </c>
      <c r="N138" t="s">
        <v>103</v>
      </c>
      <c r="O138" t="s">
        <v>74</v>
      </c>
      <c r="P138" t="s">
        <v>74</v>
      </c>
      <c r="Q138" t="s">
        <v>74</v>
      </c>
      <c r="R138" t="s">
        <v>74</v>
      </c>
      <c r="S138" t="s">
        <v>74</v>
      </c>
      <c r="T138" t="s">
        <v>2161</v>
      </c>
      <c r="U138" t="s">
        <v>2162</v>
      </c>
      <c r="V138" t="s">
        <v>2163</v>
      </c>
      <c r="W138" t="s">
        <v>2164</v>
      </c>
      <c r="X138" t="s">
        <v>2165</v>
      </c>
      <c r="Y138" t="s">
        <v>2166</v>
      </c>
      <c r="Z138" t="s">
        <v>2167</v>
      </c>
      <c r="AA138" t="s">
        <v>1934</v>
      </c>
      <c r="AB138" t="s">
        <v>1935</v>
      </c>
      <c r="AC138" t="s">
        <v>74</v>
      </c>
      <c r="AD138" t="s">
        <v>74</v>
      </c>
      <c r="AE138" t="s">
        <v>74</v>
      </c>
      <c r="AF138" t="s">
        <v>74</v>
      </c>
      <c r="AG138">
        <v>71</v>
      </c>
      <c r="AH138">
        <v>76</v>
      </c>
      <c r="AI138">
        <v>84</v>
      </c>
      <c r="AJ138">
        <v>0</v>
      </c>
      <c r="AK138">
        <v>18</v>
      </c>
      <c r="AL138" t="s">
        <v>1866</v>
      </c>
      <c r="AM138" t="s">
        <v>1867</v>
      </c>
      <c r="AN138" t="s">
        <v>1868</v>
      </c>
      <c r="AO138" t="s">
        <v>1869</v>
      </c>
      <c r="AP138" t="s">
        <v>1870</v>
      </c>
      <c r="AQ138" t="s">
        <v>74</v>
      </c>
      <c r="AR138" t="s">
        <v>1871</v>
      </c>
      <c r="AS138" t="s">
        <v>1872</v>
      </c>
      <c r="AT138" t="s">
        <v>74</v>
      </c>
      <c r="AU138">
        <v>1999</v>
      </c>
      <c r="AV138">
        <v>177</v>
      </c>
      <c r="AW138" t="s">
        <v>74</v>
      </c>
      <c r="AX138" t="s">
        <v>74</v>
      </c>
      <c r="AY138" t="s">
        <v>74</v>
      </c>
      <c r="AZ138" t="s">
        <v>74</v>
      </c>
      <c r="BA138" t="s">
        <v>74</v>
      </c>
      <c r="BB138">
        <v>243</v>
      </c>
      <c r="BC138">
        <v>254</v>
      </c>
      <c r="BD138" t="s">
        <v>74</v>
      </c>
      <c r="BE138" t="s">
        <v>2168</v>
      </c>
      <c r="BF138" t="str">
        <f>HYPERLINK("http://dx.doi.org/10.3354/meps177243","http://dx.doi.org/10.3354/meps177243")</f>
        <v>http://dx.doi.org/10.3354/meps177243</v>
      </c>
      <c r="BG138" t="s">
        <v>74</v>
      </c>
      <c r="BH138" t="s">
        <v>74</v>
      </c>
      <c r="BI138">
        <v>12</v>
      </c>
      <c r="BJ138" t="s">
        <v>1874</v>
      </c>
      <c r="BK138" t="s">
        <v>95</v>
      </c>
      <c r="BL138" t="s">
        <v>1875</v>
      </c>
      <c r="BM138" t="s">
        <v>2116</v>
      </c>
      <c r="BN138" t="s">
        <v>74</v>
      </c>
      <c r="BO138" t="s">
        <v>1938</v>
      </c>
      <c r="BP138" t="s">
        <v>74</v>
      </c>
      <c r="BQ138" t="s">
        <v>74</v>
      </c>
      <c r="BR138" t="s">
        <v>98</v>
      </c>
      <c r="BS138" t="s">
        <v>2169</v>
      </c>
      <c r="BT138" t="str">
        <f>HYPERLINK("https%3A%2F%2Fwww.webofscience.com%2Fwos%2Fwoscc%2Ffull-record%2FWOS:000079215300022","View Full Record in Web of Science")</f>
        <v>View Full Record in Web of Science</v>
      </c>
    </row>
    <row r="139" spans="1:72" x14ac:dyDescent="0.15">
      <c r="A139" t="s">
        <v>72</v>
      </c>
      <c r="B139" t="s">
        <v>2170</v>
      </c>
      <c r="C139" t="s">
        <v>74</v>
      </c>
      <c r="D139" t="s">
        <v>74</v>
      </c>
      <c r="E139" t="s">
        <v>74</v>
      </c>
      <c r="F139" t="s">
        <v>2170</v>
      </c>
      <c r="G139" t="s">
        <v>74</v>
      </c>
      <c r="H139" t="s">
        <v>74</v>
      </c>
      <c r="I139" t="s">
        <v>2171</v>
      </c>
      <c r="J139" t="s">
        <v>1856</v>
      </c>
      <c r="K139" t="s">
        <v>74</v>
      </c>
      <c r="L139" t="s">
        <v>74</v>
      </c>
      <c r="M139" t="s">
        <v>77</v>
      </c>
      <c r="N139" t="s">
        <v>103</v>
      </c>
      <c r="O139" t="s">
        <v>74</v>
      </c>
      <c r="P139" t="s">
        <v>74</v>
      </c>
      <c r="Q139" t="s">
        <v>74</v>
      </c>
      <c r="R139" t="s">
        <v>74</v>
      </c>
      <c r="S139" t="s">
        <v>74</v>
      </c>
      <c r="T139" t="s">
        <v>2172</v>
      </c>
      <c r="U139" t="s">
        <v>2173</v>
      </c>
      <c r="V139" t="s">
        <v>2174</v>
      </c>
      <c r="W139" t="s">
        <v>944</v>
      </c>
      <c r="X139" t="s">
        <v>628</v>
      </c>
      <c r="Y139" t="s">
        <v>2175</v>
      </c>
      <c r="Z139" t="s">
        <v>2176</v>
      </c>
      <c r="AA139" t="s">
        <v>2177</v>
      </c>
      <c r="AB139" t="s">
        <v>2178</v>
      </c>
      <c r="AC139" t="s">
        <v>74</v>
      </c>
      <c r="AD139" t="s">
        <v>74</v>
      </c>
      <c r="AE139" t="s">
        <v>74</v>
      </c>
      <c r="AF139" t="s">
        <v>74</v>
      </c>
      <c r="AG139">
        <v>90</v>
      </c>
      <c r="AH139">
        <v>60</v>
      </c>
      <c r="AI139">
        <v>67</v>
      </c>
      <c r="AJ139">
        <v>0</v>
      </c>
      <c r="AK139">
        <v>17</v>
      </c>
      <c r="AL139" t="s">
        <v>1866</v>
      </c>
      <c r="AM139" t="s">
        <v>1867</v>
      </c>
      <c r="AN139" t="s">
        <v>1868</v>
      </c>
      <c r="AO139" t="s">
        <v>1869</v>
      </c>
      <c r="AP139" t="s">
        <v>74</v>
      </c>
      <c r="AQ139" t="s">
        <v>74</v>
      </c>
      <c r="AR139" t="s">
        <v>1871</v>
      </c>
      <c r="AS139" t="s">
        <v>1872</v>
      </c>
      <c r="AT139" t="s">
        <v>74</v>
      </c>
      <c r="AU139">
        <v>1999</v>
      </c>
      <c r="AV139">
        <v>176</v>
      </c>
      <c r="AW139" t="s">
        <v>74</v>
      </c>
      <c r="AX139" t="s">
        <v>74</v>
      </c>
      <c r="AY139" t="s">
        <v>74</v>
      </c>
      <c r="AZ139" t="s">
        <v>74</v>
      </c>
      <c r="BA139" t="s">
        <v>74</v>
      </c>
      <c r="BB139">
        <v>63</v>
      </c>
      <c r="BC139">
        <v>79</v>
      </c>
      <c r="BD139" t="s">
        <v>74</v>
      </c>
      <c r="BE139" t="s">
        <v>2179</v>
      </c>
      <c r="BF139" t="str">
        <f>HYPERLINK("http://dx.doi.org/10.3354/meps176063","http://dx.doi.org/10.3354/meps176063")</f>
        <v>http://dx.doi.org/10.3354/meps176063</v>
      </c>
      <c r="BG139" t="s">
        <v>74</v>
      </c>
      <c r="BH139" t="s">
        <v>74</v>
      </c>
      <c r="BI139">
        <v>17</v>
      </c>
      <c r="BJ139" t="s">
        <v>1874</v>
      </c>
      <c r="BK139" t="s">
        <v>95</v>
      </c>
      <c r="BL139" t="s">
        <v>1875</v>
      </c>
      <c r="BM139" t="s">
        <v>2180</v>
      </c>
      <c r="BN139" t="s">
        <v>74</v>
      </c>
      <c r="BO139" t="s">
        <v>1089</v>
      </c>
      <c r="BP139" t="s">
        <v>74</v>
      </c>
      <c r="BQ139" t="s">
        <v>74</v>
      </c>
      <c r="BR139" t="s">
        <v>98</v>
      </c>
      <c r="BS139" t="s">
        <v>2181</v>
      </c>
      <c r="BT139" t="str">
        <f>HYPERLINK("https%3A%2F%2Fwww.webofscience.com%2Fwos%2Fwoscc%2Ffull-record%2FWOS:000078918200007","View Full Record in Web of Science")</f>
        <v>View Full Record in Web of Science</v>
      </c>
    </row>
    <row r="140" spans="1:72" x14ac:dyDescent="0.15">
      <c r="A140" t="s">
        <v>72</v>
      </c>
      <c r="B140" t="s">
        <v>2182</v>
      </c>
      <c r="C140" t="s">
        <v>74</v>
      </c>
      <c r="D140" t="s">
        <v>74</v>
      </c>
      <c r="E140" t="s">
        <v>74</v>
      </c>
      <c r="F140" t="s">
        <v>2182</v>
      </c>
      <c r="G140" t="s">
        <v>74</v>
      </c>
      <c r="H140" t="s">
        <v>74</v>
      </c>
      <c r="I140" t="s">
        <v>2183</v>
      </c>
      <c r="J140" t="s">
        <v>2184</v>
      </c>
      <c r="K140" t="s">
        <v>74</v>
      </c>
      <c r="L140" t="s">
        <v>74</v>
      </c>
      <c r="M140" t="s">
        <v>77</v>
      </c>
      <c r="N140" t="s">
        <v>2185</v>
      </c>
      <c r="O140" t="s">
        <v>74</v>
      </c>
      <c r="P140" t="s">
        <v>74</v>
      </c>
      <c r="Q140" t="s">
        <v>74</v>
      </c>
      <c r="R140" t="s">
        <v>74</v>
      </c>
      <c r="S140" t="s">
        <v>74</v>
      </c>
      <c r="T140" t="s">
        <v>74</v>
      </c>
      <c r="U140" t="s">
        <v>74</v>
      </c>
      <c r="V140" t="s">
        <v>74</v>
      </c>
      <c r="W140" t="s">
        <v>74</v>
      </c>
      <c r="X140" t="s">
        <v>74</v>
      </c>
      <c r="Y140" t="s">
        <v>74</v>
      </c>
      <c r="Z140" t="s">
        <v>74</v>
      </c>
      <c r="AA140" t="s">
        <v>74</v>
      </c>
      <c r="AB140" t="s">
        <v>74</v>
      </c>
      <c r="AC140" t="s">
        <v>74</v>
      </c>
      <c r="AD140" t="s">
        <v>74</v>
      </c>
      <c r="AE140" t="s">
        <v>74</v>
      </c>
      <c r="AF140" t="s">
        <v>74</v>
      </c>
      <c r="AG140">
        <v>0</v>
      </c>
      <c r="AH140">
        <v>0</v>
      </c>
      <c r="AI140">
        <v>0</v>
      </c>
      <c r="AJ140">
        <v>0</v>
      </c>
      <c r="AK140">
        <v>0</v>
      </c>
      <c r="AL140" t="s">
        <v>445</v>
      </c>
      <c r="AM140" t="s">
        <v>229</v>
      </c>
      <c r="AN140" t="s">
        <v>446</v>
      </c>
      <c r="AO140" t="s">
        <v>2186</v>
      </c>
      <c r="AP140" t="s">
        <v>2187</v>
      </c>
      <c r="AQ140" t="s">
        <v>74</v>
      </c>
      <c r="AR140" t="s">
        <v>2188</v>
      </c>
      <c r="AS140" t="s">
        <v>2189</v>
      </c>
      <c r="AT140" t="s">
        <v>143</v>
      </c>
      <c r="AU140">
        <v>1999</v>
      </c>
      <c r="AV140">
        <v>38</v>
      </c>
      <c r="AW140">
        <v>1</v>
      </c>
      <c r="AX140" t="s">
        <v>74</v>
      </c>
      <c r="AY140" t="s">
        <v>74</v>
      </c>
      <c r="AZ140" t="s">
        <v>74</v>
      </c>
      <c r="BA140" t="s">
        <v>74</v>
      </c>
      <c r="BB140">
        <v>6</v>
      </c>
      <c r="BC140">
        <v>6</v>
      </c>
      <c r="BD140" t="s">
        <v>74</v>
      </c>
      <c r="BE140" t="s">
        <v>74</v>
      </c>
      <c r="BF140" t="s">
        <v>74</v>
      </c>
      <c r="BG140" t="s">
        <v>74</v>
      </c>
      <c r="BH140" t="s">
        <v>74</v>
      </c>
      <c r="BI140">
        <v>1</v>
      </c>
      <c r="BJ140" t="s">
        <v>2190</v>
      </c>
      <c r="BK140" t="s">
        <v>95</v>
      </c>
      <c r="BL140" t="s">
        <v>2191</v>
      </c>
      <c r="BM140" t="s">
        <v>2192</v>
      </c>
      <c r="BN140" t="s">
        <v>74</v>
      </c>
      <c r="BO140" t="s">
        <v>74</v>
      </c>
      <c r="BP140" t="s">
        <v>74</v>
      </c>
      <c r="BQ140" t="s">
        <v>74</v>
      </c>
      <c r="BR140" t="s">
        <v>98</v>
      </c>
      <c r="BS140" t="s">
        <v>2193</v>
      </c>
      <c r="BT140" t="str">
        <f>HYPERLINK("https%3A%2F%2Fwww.webofscience.com%2Fwos%2Fwoscc%2Ffull-record%2FWOS:000078730900013","View Full Record in Web of Science")</f>
        <v>View Full Record in Web of Science</v>
      </c>
    </row>
    <row r="141" spans="1:72" x14ac:dyDescent="0.15">
      <c r="A141" t="s">
        <v>215</v>
      </c>
      <c r="B141" t="s">
        <v>2194</v>
      </c>
      <c r="C141" t="s">
        <v>74</v>
      </c>
      <c r="D141" t="s">
        <v>2195</v>
      </c>
      <c r="E141" t="s">
        <v>74</v>
      </c>
      <c r="F141" t="s">
        <v>2194</v>
      </c>
      <c r="G141" t="s">
        <v>74</v>
      </c>
      <c r="H141" t="s">
        <v>74</v>
      </c>
      <c r="I141" t="s">
        <v>2196</v>
      </c>
      <c r="J141" t="s">
        <v>2197</v>
      </c>
      <c r="K141" t="s">
        <v>220</v>
      </c>
      <c r="L141" t="s">
        <v>74</v>
      </c>
      <c r="M141" t="s">
        <v>77</v>
      </c>
      <c r="N141" t="s">
        <v>123</v>
      </c>
      <c r="O141" t="s">
        <v>2198</v>
      </c>
      <c r="P141" t="s">
        <v>222</v>
      </c>
      <c r="Q141" t="s">
        <v>223</v>
      </c>
      <c r="R141" t="s">
        <v>74</v>
      </c>
      <c r="S141" t="s">
        <v>74</v>
      </c>
      <c r="T141" t="s">
        <v>74</v>
      </c>
      <c r="U141" t="s">
        <v>2199</v>
      </c>
      <c r="V141" t="s">
        <v>2200</v>
      </c>
      <c r="W141" t="s">
        <v>2201</v>
      </c>
      <c r="X141" t="s">
        <v>2202</v>
      </c>
      <c r="Y141" t="s">
        <v>2203</v>
      </c>
      <c r="Z141" t="s">
        <v>74</v>
      </c>
      <c r="AA141" t="s">
        <v>74</v>
      </c>
      <c r="AB141" t="s">
        <v>74</v>
      </c>
      <c r="AC141" t="s">
        <v>74</v>
      </c>
      <c r="AD141" t="s">
        <v>74</v>
      </c>
      <c r="AE141" t="s">
        <v>74</v>
      </c>
      <c r="AF141" t="s">
        <v>74</v>
      </c>
      <c r="AG141">
        <v>8</v>
      </c>
      <c r="AH141">
        <v>2</v>
      </c>
      <c r="AI141">
        <v>2</v>
      </c>
      <c r="AJ141">
        <v>0</v>
      </c>
      <c r="AK141">
        <v>0</v>
      </c>
      <c r="AL141" t="s">
        <v>228</v>
      </c>
      <c r="AM141" t="s">
        <v>229</v>
      </c>
      <c r="AN141" t="s">
        <v>230</v>
      </c>
      <c r="AO141" t="s">
        <v>231</v>
      </c>
      <c r="AP141" t="s">
        <v>74</v>
      </c>
      <c r="AQ141" t="s">
        <v>74</v>
      </c>
      <c r="AR141" t="s">
        <v>232</v>
      </c>
      <c r="AS141" t="s">
        <v>74</v>
      </c>
      <c r="AT141" t="s">
        <v>74</v>
      </c>
      <c r="AU141">
        <v>1999</v>
      </c>
      <c r="AV141">
        <v>24</v>
      </c>
      <c r="AW141">
        <v>5</v>
      </c>
      <c r="AX141" t="s">
        <v>74</v>
      </c>
      <c r="AY141" t="s">
        <v>74</v>
      </c>
      <c r="AZ141" t="s">
        <v>74</v>
      </c>
      <c r="BA141" t="s">
        <v>74</v>
      </c>
      <c r="BB141">
        <v>579</v>
      </c>
      <c r="BC141">
        <v>582</v>
      </c>
      <c r="BD141" t="s">
        <v>74</v>
      </c>
      <c r="BE141" t="s">
        <v>2204</v>
      </c>
      <c r="BF141" t="str">
        <f>HYPERLINK("http://dx.doi.org/10.1016/S0273-1177(99)00204-5","http://dx.doi.org/10.1016/S0273-1177(99)00204-5")</f>
        <v>http://dx.doi.org/10.1016/S0273-1177(99)00204-5</v>
      </c>
      <c r="BG141" t="s">
        <v>74</v>
      </c>
      <c r="BH141" t="s">
        <v>74</v>
      </c>
      <c r="BI141">
        <v>4</v>
      </c>
      <c r="BJ141" t="s">
        <v>1244</v>
      </c>
      <c r="BK141" t="s">
        <v>235</v>
      </c>
      <c r="BL141" t="s">
        <v>1245</v>
      </c>
      <c r="BM141" t="s">
        <v>2205</v>
      </c>
      <c r="BN141" t="s">
        <v>74</v>
      </c>
      <c r="BO141" t="s">
        <v>74</v>
      </c>
      <c r="BP141" t="s">
        <v>74</v>
      </c>
      <c r="BQ141" t="s">
        <v>74</v>
      </c>
      <c r="BR141" t="s">
        <v>98</v>
      </c>
      <c r="BS141" t="s">
        <v>2206</v>
      </c>
      <c r="BT141" t="str">
        <f>HYPERLINK("https%3A%2F%2Fwww.webofscience.com%2Fwos%2Fwoscc%2Ffull-record%2FWOS:000084313200007","View Full Record in Web of Science")</f>
        <v>View Full Record in Web of Science</v>
      </c>
    </row>
    <row r="142" spans="1:72" x14ac:dyDescent="0.15">
      <c r="A142" t="s">
        <v>215</v>
      </c>
      <c r="B142" t="s">
        <v>2207</v>
      </c>
      <c r="C142" t="s">
        <v>74</v>
      </c>
      <c r="D142" t="s">
        <v>2195</v>
      </c>
      <c r="E142" t="s">
        <v>74</v>
      </c>
      <c r="F142" t="s">
        <v>2207</v>
      </c>
      <c r="G142" t="s">
        <v>74</v>
      </c>
      <c r="H142" t="s">
        <v>74</v>
      </c>
      <c r="I142" t="s">
        <v>2208</v>
      </c>
      <c r="J142" t="s">
        <v>2197</v>
      </c>
      <c r="K142" t="s">
        <v>220</v>
      </c>
      <c r="L142" t="s">
        <v>74</v>
      </c>
      <c r="M142" t="s">
        <v>77</v>
      </c>
      <c r="N142" t="s">
        <v>123</v>
      </c>
      <c r="O142" t="s">
        <v>2198</v>
      </c>
      <c r="P142" t="s">
        <v>222</v>
      </c>
      <c r="Q142" t="s">
        <v>223</v>
      </c>
      <c r="R142" t="s">
        <v>74</v>
      </c>
      <c r="S142" t="s">
        <v>74</v>
      </c>
      <c r="T142" t="s">
        <v>74</v>
      </c>
      <c r="U142" t="s">
        <v>2209</v>
      </c>
      <c r="V142" t="s">
        <v>2210</v>
      </c>
      <c r="W142" t="s">
        <v>1437</v>
      </c>
      <c r="X142" t="s">
        <v>628</v>
      </c>
      <c r="Y142" t="s">
        <v>2211</v>
      </c>
      <c r="Z142" t="s">
        <v>74</v>
      </c>
      <c r="AA142" t="s">
        <v>74</v>
      </c>
      <c r="AB142" t="s">
        <v>74</v>
      </c>
      <c r="AC142" t="s">
        <v>74</v>
      </c>
      <c r="AD142" t="s">
        <v>74</v>
      </c>
      <c r="AE142" t="s">
        <v>74</v>
      </c>
      <c r="AF142" t="s">
        <v>74</v>
      </c>
      <c r="AG142">
        <v>28</v>
      </c>
      <c r="AH142">
        <v>15</v>
      </c>
      <c r="AI142">
        <v>15</v>
      </c>
      <c r="AJ142">
        <v>0</v>
      </c>
      <c r="AK142">
        <v>1</v>
      </c>
      <c r="AL142" t="s">
        <v>228</v>
      </c>
      <c r="AM142" t="s">
        <v>229</v>
      </c>
      <c r="AN142" t="s">
        <v>230</v>
      </c>
      <c r="AO142" t="s">
        <v>231</v>
      </c>
      <c r="AP142" t="s">
        <v>74</v>
      </c>
      <c r="AQ142" t="s">
        <v>74</v>
      </c>
      <c r="AR142" t="s">
        <v>232</v>
      </c>
      <c r="AS142" t="s">
        <v>74</v>
      </c>
      <c r="AT142" t="s">
        <v>74</v>
      </c>
      <c r="AU142">
        <v>1999</v>
      </c>
      <c r="AV142">
        <v>24</v>
      </c>
      <c r="AW142">
        <v>5</v>
      </c>
      <c r="AX142" t="s">
        <v>74</v>
      </c>
      <c r="AY142" t="s">
        <v>74</v>
      </c>
      <c r="AZ142" t="s">
        <v>74</v>
      </c>
      <c r="BA142" t="s">
        <v>74</v>
      </c>
      <c r="BB142">
        <v>611</v>
      </c>
      <c r="BC142">
        <v>619</v>
      </c>
      <c r="BD142" t="s">
        <v>74</v>
      </c>
      <c r="BE142" t="s">
        <v>2212</v>
      </c>
      <c r="BF142" t="str">
        <f>HYPERLINK("http://dx.doi.org/10.1016/S0273-1177(99)00479-2","http://dx.doi.org/10.1016/S0273-1177(99)00479-2")</f>
        <v>http://dx.doi.org/10.1016/S0273-1177(99)00479-2</v>
      </c>
      <c r="BG142" t="s">
        <v>74</v>
      </c>
      <c r="BH142" t="s">
        <v>74</v>
      </c>
      <c r="BI142">
        <v>9</v>
      </c>
      <c r="BJ142" t="s">
        <v>1244</v>
      </c>
      <c r="BK142" t="s">
        <v>235</v>
      </c>
      <c r="BL142" t="s">
        <v>1245</v>
      </c>
      <c r="BM142" t="s">
        <v>2205</v>
      </c>
      <c r="BN142" t="s">
        <v>74</v>
      </c>
      <c r="BO142" t="s">
        <v>74</v>
      </c>
      <c r="BP142" t="s">
        <v>74</v>
      </c>
      <c r="BQ142" t="s">
        <v>74</v>
      </c>
      <c r="BR142" t="s">
        <v>98</v>
      </c>
      <c r="BS142" t="s">
        <v>2213</v>
      </c>
      <c r="BT142" t="str">
        <f>HYPERLINK("https%3A%2F%2Fwww.webofscience.com%2Fwos%2Fwoscc%2Ffull-record%2FWOS:000084313200012","View Full Record in Web of Science")</f>
        <v>View Full Record in Web of Science</v>
      </c>
    </row>
    <row r="143" spans="1:72" x14ac:dyDescent="0.15">
      <c r="A143" t="s">
        <v>147</v>
      </c>
      <c r="B143" t="s">
        <v>2214</v>
      </c>
      <c r="C143" t="s">
        <v>74</v>
      </c>
      <c r="D143" t="s">
        <v>2215</v>
      </c>
      <c r="E143" t="s">
        <v>74</v>
      </c>
      <c r="F143" t="s">
        <v>2214</v>
      </c>
      <c r="G143" t="s">
        <v>74</v>
      </c>
      <c r="H143" t="s">
        <v>74</v>
      </c>
      <c r="I143" t="s">
        <v>2216</v>
      </c>
      <c r="J143" t="s">
        <v>2217</v>
      </c>
      <c r="K143" t="s">
        <v>74</v>
      </c>
      <c r="L143" t="s">
        <v>74</v>
      </c>
      <c r="M143" t="s">
        <v>77</v>
      </c>
      <c r="N143" t="s">
        <v>153</v>
      </c>
      <c r="O143" t="s">
        <v>2218</v>
      </c>
      <c r="P143">
        <v>1997</v>
      </c>
      <c r="Q143" t="s">
        <v>2219</v>
      </c>
      <c r="R143" t="s">
        <v>74</v>
      </c>
      <c r="S143" t="s">
        <v>74</v>
      </c>
      <c r="T143" t="s">
        <v>74</v>
      </c>
      <c r="U143" t="s">
        <v>2220</v>
      </c>
      <c r="V143" t="s">
        <v>2221</v>
      </c>
      <c r="W143" t="s">
        <v>2222</v>
      </c>
      <c r="X143" t="s">
        <v>2223</v>
      </c>
      <c r="Y143" t="s">
        <v>2224</v>
      </c>
      <c r="Z143" t="s">
        <v>2225</v>
      </c>
      <c r="AA143" t="s">
        <v>2226</v>
      </c>
      <c r="AB143" t="s">
        <v>2227</v>
      </c>
      <c r="AC143" t="s">
        <v>74</v>
      </c>
      <c r="AD143" t="s">
        <v>74</v>
      </c>
      <c r="AE143" t="s">
        <v>74</v>
      </c>
      <c r="AF143" t="s">
        <v>74</v>
      </c>
      <c r="AG143">
        <v>14</v>
      </c>
      <c r="AH143">
        <v>1</v>
      </c>
      <c r="AI143">
        <v>2</v>
      </c>
      <c r="AJ143">
        <v>0</v>
      </c>
      <c r="AK143">
        <v>1</v>
      </c>
      <c r="AL143" t="s">
        <v>2228</v>
      </c>
      <c r="AM143" t="s">
        <v>407</v>
      </c>
      <c r="AN143" t="s">
        <v>2229</v>
      </c>
      <c r="AO143" t="s">
        <v>74</v>
      </c>
      <c r="AP143" t="s">
        <v>74</v>
      </c>
      <c r="AQ143" t="s">
        <v>2230</v>
      </c>
      <c r="AR143" t="s">
        <v>74</v>
      </c>
      <c r="AS143" t="s">
        <v>74</v>
      </c>
      <c r="AT143" t="s">
        <v>74</v>
      </c>
      <c r="AU143">
        <v>1999</v>
      </c>
      <c r="AV143" t="s">
        <v>74</v>
      </c>
      <c r="AW143" t="s">
        <v>74</v>
      </c>
      <c r="AX143" t="s">
        <v>74</v>
      </c>
      <c r="AY143" t="s">
        <v>74</v>
      </c>
      <c r="AZ143" t="s">
        <v>74</v>
      </c>
      <c r="BA143" t="s">
        <v>74</v>
      </c>
      <c r="BB143">
        <v>167</v>
      </c>
      <c r="BC143">
        <v>172</v>
      </c>
      <c r="BD143" t="s">
        <v>74</v>
      </c>
      <c r="BE143" t="s">
        <v>74</v>
      </c>
      <c r="BF143" t="s">
        <v>74</v>
      </c>
      <c r="BG143" t="s">
        <v>74</v>
      </c>
      <c r="BH143" t="s">
        <v>74</v>
      </c>
      <c r="BI143">
        <v>6</v>
      </c>
      <c r="BJ143" t="s">
        <v>2231</v>
      </c>
      <c r="BK143" t="s">
        <v>171</v>
      </c>
      <c r="BL143" t="s">
        <v>2231</v>
      </c>
      <c r="BM143" t="s">
        <v>2232</v>
      </c>
      <c r="BN143" t="s">
        <v>74</v>
      </c>
      <c r="BO143" t="s">
        <v>74</v>
      </c>
      <c r="BP143" t="s">
        <v>74</v>
      </c>
      <c r="BQ143" t="s">
        <v>74</v>
      </c>
      <c r="BR143" t="s">
        <v>98</v>
      </c>
      <c r="BS143" t="s">
        <v>2233</v>
      </c>
      <c r="BT143" t="str">
        <f>HYPERLINK("https%3A%2F%2Fwww.webofscience.com%2Fwos%2Fwoscc%2Ffull-record%2FWOS:000084979200021","View Full Record in Web of Science")</f>
        <v>View Full Record in Web of Science</v>
      </c>
    </row>
    <row r="144" spans="1:72" x14ac:dyDescent="0.15">
      <c r="A144" t="s">
        <v>72</v>
      </c>
      <c r="B144" t="s">
        <v>2234</v>
      </c>
      <c r="C144" t="s">
        <v>74</v>
      </c>
      <c r="D144" t="s">
        <v>74</v>
      </c>
      <c r="E144" t="s">
        <v>74</v>
      </c>
      <c r="F144" t="s">
        <v>2234</v>
      </c>
      <c r="G144" t="s">
        <v>74</v>
      </c>
      <c r="H144" t="s">
        <v>74</v>
      </c>
      <c r="I144" t="s">
        <v>2235</v>
      </c>
      <c r="J144" t="s">
        <v>2236</v>
      </c>
      <c r="K144" t="s">
        <v>74</v>
      </c>
      <c r="L144" t="s">
        <v>74</v>
      </c>
      <c r="M144" t="s">
        <v>77</v>
      </c>
      <c r="N144" t="s">
        <v>103</v>
      </c>
      <c r="O144" t="s">
        <v>74</v>
      </c>
      <c r="P144" t="s">
        <v>74</v>
      </c>
      <c r="Q144" t="s">
        <v>74</v>
      </c>
      <c r="R144" t="s">
        <v>74</v>
      </c>
      <c r="S144" t="s">
        <v>74</v>
      </c>
      <c r="T144" t="s">
        <v>74</v>
      </c>
      <c r="U144" t="s">
        <v>2237</v>
      </c>
      <c r="V144" t="s">
        <v>2238</v>
      </c>
      <c r="W144" t="s">
        <v>2239</v>
      </c>
      <c r="X144" t="s">
        <v>1142</v>
      </c>
      <c r="Y144" t="s">
        <v>2240</v>
      </c>
      <c r="Z144" t="s">
        <v>2241</v>
      </c>
      <c r="AA144" t="s">
        <v>74</v>
      </c>
      <c r="AB144" t="s">
        <v>74</v>
      </c>
      <c r="AC144" t="s">
        <v>74</v>
      </c>
      <c r="AD144" t="s">
        <v>74</v>
      </c>
      <c r="AE144" t="s">
        <v>74</v>
      </c>
      <c r="AF144" t="s">
        <v>74</v>
      </c>
      <c r="AG144">
        <v>74</v>
      </c>
      <c r="AH144">
        <v>42</v>
      </c>
      <c r="AI144">
        <v>45</v>
      </c>
      <c r="AJ144">
        <v>0</v>
      </c>
      <c r="AK144">
        <v>2</v>
      </c>
      <c r="AL144" t="s">
        <v>2242</v>
      </c>
      <c r="AM144" t="s">
        <v>2243</v>
      </c>
      <c r="AN144" t="s">
        <v>2244</v>
      </c>
      <c r="AO144" t="s">
        <v>2245</v>
      </c>
      <c r="AP144" t="s">
        <v>74</v>
      </c>
      <c r="AQ144" t="s">
        <v>74</v>
      </c>
      <c r="AR144" t="s">
        <v>2246</v>
      </c>
      <c r="AS144" t="s">
        <v>2247</v>
      </c>
      <c r="AT144" t="s">
        <v>143</v>
      </c>
      <c r="AU144">
        <v>1999</v>
      </c>
      <c r="AV144">
        <v>34</v>
      </c>
      <c r="AW144">
        <v>1</v>
      </c>
      <c r="AX144" t="s">
        <v>74</v>
      </c>
      <c r="AY144" t="s">
        <v>74</v>
      </c>
      <c r="AZ144" t="s">
        <v>74</v>
      </c>
      <c r="BA144" t="s">
        <v>74</v>
      </c>
      <c r="BB144">
        <v>109</v>
      </c>
      <c r="BC144">
        <v>119</v>
      </c>
      <c r="BD144" t="s">
        <v>74</v>
      </c>
      <c r="BE144" t="s">
        <v>2248</v>
      </c>
      <c r="BF144" t="str">
        <f>HYPERLINK("http://dx.doi.org/10.1111/j.1945-5100.1999.tb01736.x","http://dx.doi.org/10.1111/j.1945-5100.1999.tb01736.x")</f>
        <v>http://dx.doi.org/10.1111/j.1945-5100.1999.tb01736.x</v>
      </c>
      <c r="BG144" t="s">
        <v>74</v>
      </c>
      <c r="BH144" t="s">
        <v>74</v>
      </c>
      <c r="BI144">
        <v>11</v>
      </c>
      <c r="BJ144" t="s">
        <v>303</v>
      </c>
      <c r="BK144" t="s">
        <v>95</v>
      </c>
      <c r="BL144" t="s">
        <v>303</v>
      </c>
      <c r="BM144" t="s">
        <v>2249</v>
      </c>
      <c r="BN144" t="s">
        <v>74</v>
      </c>
      <c r="BO144" t="s">
        <v>1089</v>
      </c>
      <c r="BP144" t="s">
        <v>74</v>
      </c>
      <c r="BQ144" t="s">
        <v>74</v>
      </c>
      <c r="BR144" t="s">
        <v>98</v>
      </c>
      <c r="BS144" t="s">
        <v>2250</v>
      </c>
      <c r="BT144" t="str">
        <f>HYPERLINK("https%3A%2F%2Fwww.webofscience.com%2Fwos%2Fwoscc%2Ffull-record%2FWOS:000078301400012","View Full Record in Web of Science")</f>
        <v>View Full Record in Web of Science</v>
      </c>
    </row>
    <row r="145" spans="1:72" x14ac:dyDescent="0.15">
      <c r="A145" t="s">
        <v>72</v>
      </c>
      <c r="B145" t="s">
        <v>2251</v>
      </c>
      <c r="C145" t="s">
        <v>74</v>
      </c>
      <c r="D145" t="s">
        <v>74</v>
      </c>
      <c r="E145" t="s">
        <v>74</v>
      </c>
      <c r="F145" t="s">
        <v>2251</v>
      </c>
      <c r="G145" t="s">
        <v>74</v>
      </c>
      <c r="H145" t="s">
        <v>74</v>
      </c>
      <c r="I145" t="s">
        <v>2252</v>
      </c>
      <c r="J145" t="s">
        <v>2253</v>
      </c>
      <c r="K145" t="s">
        <v>74</v>
      </c>
      <c r="L145" t="s">
        <v>74</v>
      </c>
      <c r="M145" t="s">
        <v>77</v>
      </c>
      <c r="N145" t="s">
        <v>123</v>
      </c>
      <c r="O145" t="s">
        <v>2254</v>
      </c>
      <c r="P145" t="s">
        <v>2255</v>
      </c>
      <c r="Q145" t="s">
        <v>2256</v>
      </c>
      <c r="R145" t="s">
        <v>74</v>
      </c>
      <c r="S145" t="s">
        <v>74</v>
      </c>
      <c r="T145" t="s">
        <v>74</v>
      </c>
      <c r="U145" t="s">
        <v>74</v>
      </c>
      <c r="V145" t="s">
        <v>2257</v>
      </c>
      <c r="W145" t="s">
        <v>2258</v>
      </c>
      <c r="X145" t="s">
        <v>2259</v>
      </c>
      <c r="Y145" t="s">
        <v>2260</v>
      </c>
      <c r="Z145" t="s">
        <v>74</v>
      </c>
      <c r="AA145" t="s">
        <v>2261</v>
      </c>
      <c r="AB145" t="s">
        <v>2262</v>
      </c>
      <c r="AC145" t="s">
        <v>74</v>
      </c>
      <c r="AD145" t="s">
        <v>74</v>
      </c>
      <c r="AE145" t="s">
        <v>74</v>
      </c>
      <c r="AF145" t="s">
        <v>74</v>
      </c>
      <c r="AG145">
        <v>7</v>
      </c>
      <c r="AH145">
        <v>38</v>
      </c>
      <c r="AI145">
        <v>41</v>
      </c>
      <c r="AJ145">
        <v>0</v>
      </c>
      <c r="AK145">
        <v>1</v>
      </c>
      <c r="AL145" t="s">
        <v>2263</v>
      </c>
      <c r="AM145" t="s">
        <v>2264</v>
      </c>
      <c r="AN145" t="s">
        <v>2265</v>
      </c>
      <c r="AO145" t="s">
        <v>2266</v>
      </c>
      <c r="AP145" t="s">
        <v>74</v>
      </c>
      <c r="AQ145" t="s">
        <v>74</v>
      </c>
      <c r="AR145" t="s">
        <v>2267</v>
      </c>
      <c r="AS145" t="s">
        <v>2268</v>
      </c>
      <c r="AT145" t="s">
        <v>74</v>
      </c>
      <c r="AU145">
        <v>1999</v>
      </c>
      <c r="AV145">
        <v>71</v>
      </c>
      <c r="AW145" t="s">
        <v>412</v>
      </c>
      <c r="AX145" t="s">
        <v>74</v>
      </c>
      <c r="AY145" t="s">
        <v>74</v>
      </c>
      <c r="AZ145" t="s">
        <v>74</v>
      </c>
      <c r="BA145" t="s">
        <v>74</v>
      </c>
      <c r="BB145">
        <v>127</v>
      </c>
      <c r="BC145">
        <v>132</v>
      </c>
      <c r="BD145" t="s">
        <v>74</v>
      </c>
      <c r="BE145" t="s">
        <v>2269</v>
      </c>
      <c r="BF145" t="str">
        <f>HYPERLINK("http://dx.doi.org/10.1007/s007030050050","http://dx.doi.org/10.1007/s007030050050")</f>
        <v>http://dx.doi.org/10.1007/s007030050050</v>
      </c>
      <c r="BG145" t="s">
        <v>74</v>
      </c>
      <c r="BH145" t="s">
        <v>74</v>
      </c>
      <c r="BI145">
        <v>6</v>
      </c>
      <c r="BJ145" t="s">
        <v>1418</v>
      </c>
      <c r="BK145" t="s">
        <v>235</v>
      </c>
      <c r="BL145" t="s">
        <v>1418</v>
      </c>
      <c r="BM145" t="s">
        <v>2270</v>
      </c>
      <c r="BN145" t="s">
        <v>74</v>
      </c>
      <c r="BO145" t="s">
        <v>74</v>
      </c>
      <c r="BP145" t="s">
        <v>74</v>
      </c>
      <c r="BQ145" t="s">
        <v>74</v>
      </c>
      <c r="BR145" t="s">
        <v>98</v>
      </c>
      <c r="BS145" t="s">
        <v>2271</v>
      </c>
      <c r="BT145" t="str">
        <f>HYPERLINK("https%3A%2F%2Fwww.webofscience.com%2Fwos%2Fwoscc%2Ffull-record%2FWOS:000084213600014","View Full Record in Web of Science")</f>
        <v>View Full Record in Web of Science</v>
      </c>
    </row>
    <row r="146" spans="1:72" x14ac:dyDescent="0.15">
      <c r="A146" t="s">
        <v>72</v>
      </c>
      <c r="B146" t="s">
        <v>2272</v>
      </c>
      <c r="C146" t="s">
        <v>74</v>
      </c>
      <c r="D146" t="s">
        <v>74</v>
      </c>
      <c r="E146" t="s">
        <v>74</v>
      </c>
      <c r="F146" t="s">
        <v>2272</v>
      </c>
      <c r="G146" t="s">
        <v>74</v>
      </c>
      <c r="H146" t="s">
        <v>74</v>
      </c>
      <c r="I146" t="s">
        <v>2273</v>
      </c>
      <c r="J146" t="s">
        <v>2274</v>
      </c>
      <c r="K146" t="s">
        <v>74</v>
      </c>
      <c r="L146" t="s">
        <v>74</v>
      </c>
      <c r="M146" t="s">
        <v>77</v>
      </c>
      <c r="N146" t="s">
        <v>78</v>
      </c>
      <c r="O146" t="s">
        <v>74</v>
      </c>
      <c r="P146" t="s">
        <v>74</v>
      </c>
      <c r="Q146" t="s">
        <v>74</v>
      </c>
      <c r="R146" t="s">
        <v>74</v>
      </c>
      <c r="S146" t="s">
        <v>74</v>
      </c>
      <c r="T146" t="s">
        <v>74</v>
      </c>
      <c r="U146" t="s">
        <v>2275</v>
      </c>
      <c r="V146" t="s">
        <v>2276</v>
      </c>
      <c r="W146" t="s">
        <v>2277</v>
      </c>
      <c r="X146" t="s">
        <v>2278</v>
      </c>
      <c r="Y146" t="s">
        <v>2279</v>
      </c>
      <c r="Z146" t="s">
        <v>74</v>
      </c>
      <c r="AA146" t="s">
        <v>2280</v>
      </c>
      <c r="AB146" t="s">
        <v>2281</v>
      </c>
      <c r="AC146" t="s">
        <v>74</v>
      </c>
      <c r="AD146" t="s">
        <v>74</v>
      </c>
      <c r="AE146" t="s">
        <v>74</v>
      </c>
      <c r="AF146" t="s">
        <v>74</v>
      </c>
      <c r="AG146">
        <v>169</v>
      </c>
      <c r="AH146">
        <v>70</v>
      </c>
      <c r="AI146">
        <v>81</v>
      </c>
      <c r="AJ146">
        <v>1</v>
      </c>
      <c r="AK146">
        <v>3</v>
      </c>
      <c r="AL146" t="s">
        <v>2282</v>
      </c>
      <c r="AM146" t="s">
        <v>278</v>
      </c>
      <c r="AN146" t="s">
        <v>2283</v>
      </c>
      <c r="AO146" t="s">
        <v>2284</v>
      </c>
      <c r="AP146" t="s">
        <v>74</v>
      </c>
      <c r="AQ146" t="s">
        <v>74</v>
      </c>
      <c r="AR146" t="s">
        <v>2274</v>
      </c>
      <c r="AS146" t="s">
        <v>2285</v>
      </c>
      <c r="AT146" t="s">
        <v>74</v>
      </c>
      <c r="AU146">
        <v>1999</v>
      </c>
      <c r="AV146">
        <v>45</v>
      </c>
      <c r="AW146" t="s">
        <v>74</v>
      </c>
      <c r="AX146" t="s">
        <v>74</v>
      </c>
      <c r="AY146">
        <v>1</v>
      </c>
      <c r="AZ146" t="s">
        <v>74</v>
      </c>
      <c r="BA146" t="s">
        <v>74</v>
      </c>
      <c r="BB146">
        <v>1</v>
      </c>
      <c r="BC146">
        <v>96</v>
      </c>
      <c r="BD146" t="s">
        <v>74</v>
      </c>
      <c r="BE146" t="s">
        <v>2286</v>
      </c>
      <c r="BF146" t="str">
        <f>HYPERLINK("http://dx.doi.org/10.2307/1486097","http://dx.doi.org/10.2307/1486097")</f>
        <v>http://dx.doi.org/10.2307/1486097</v>
      </c>
      <c r="BG146" t="s">
        <v>74</v>
      </c>
      <c r="BH146" t="s">
        <v>74</v>
      </c>
      <c r="BI146">
        <v>96</v>
      </c>
      <c r="BJ146" t="s">
        <v>2287</v>
      </c>
      <c r="BK146" t="s">
        <v>95</v>
      </c>
      <c r="BL146" t="s">
        <v>2287</v>
      </c>
      <c r="BM146" t="s">
        <v>2288</v>
      </c>
      <c r="BN146" t="s">
        <v>74</v>
      </c>
      <c r="BO146" t="s">
        <v>74</v>
      </c>
      <c r="BP146" t="s">
        <v>74</v>
      </c>
      <c r="BQ146" t="s">
        <v>74</v>
      </c>
      <c r="BR146" t="s">
        <v>98</v>
      </c>
      <c r="BS146" t="s">
        <v>2289</v>
      </c>
      <c r="BT146" t="str">
        <f>HYPERLINK("https%3A%2F%2Fwww.webofscience.com%2Fwos%2Fwoscc%2Ffull-record%2FWOS:000080404200001","View Full Record in Web of Science")</f>
        <v>View Full Record in Web of Science</v>
      </c>
    </row>
    <row r="147" spans="1:72" x14ac:dyDescent="0.15">
      <c r="A147" t="s">
        <v>72</v>
      </c>
      <c r="B147" t="s">
        <v>2290</v>
      </c>
      <c r="C147" t="s">
        <v>74</v>
      </c>
      <c r="D147" t="s">
        <v>74</v>
      </c>
      <c r="E147" t="s">
        <v>74</v>
      </c>
      <c r="F147" t="s">
        <v>2290</v>
      </c>
      <c r="G147" t="s">
        <v>74</v>
      </c>
      <c r="H147" t="s">
        <v>74</v>
      </c>
      <c r="I147" t="s">
        <v>2291</v>
      </c>
      <c r="J147" t="s">
        <v>2292</v>
      </c>
      <c r="K147" t="s">
        <v>74</v>
      </c>
      <c r="L147" t="s">
        <v>74</v>
      </c>
      <c r="M147" t="s">
        <v>77</v>
      </c>
      <c r="N147" t="s">
        <v>103</v>
      </c>
      <c r="O147" t="s">
        <v>74</v>
      </c>
      <c r="P147" t="s">
        <v>74</v>
      </c>
      <c r="Q147" t="s">
        <v>74</v>
      </c>
      <c r="R147" t="s">
        <v>74</v>
      </c>
      <c r="S147" t="s">
        <v>74</v>
      </c>
      <c r="T147" t="s">
        <v>74</v>
      </c>
      <c r="U147" t="s">
        <v>2293</v>
      </c>
      <c r="V147" t="s">
        <v>2294</v>
      </c>
      <c r="W147" t="s">
        <v>2295</v>
      </c>
      <c r="X147" t="s">
        <v>2278</v>
      </c>
      <c r="Y147" t="s">
        <v>2296</v>
      </c>
      <c r="Z147" t="s">
        <v>74</v>
      </c>
      <c r="AA147" t="s">
        <v>74</v>
      </c>
      <c r="AB147" t="s">
        <v>74</v>
      </c>
      <c r="AC147" t="s">
        <v>74</v>
      </c>
      <c r="AD147" t="s">
        <v>74</v>
      </c>
      <c r="AE147" t="s">
        <v>74</v>
      </c>
      <c r="AF147" t="s">
        <v>74</v>
      </c>
      <c r="AG147">
        <v>35</v>
      </c>
      <c r="AH147">
        <v>11</v>
      </c>
      <c r="AI147">
        <v>11</v>
      </c>
      <c r="AJ147">
        <v>0</v>
      </c>
      <c r="AK147">
        <v>3</v>
      </c>
      <c r="AL147" t="s">
        <v>2263</v>
      </c>
      <c r="AM147" t="s">
        <v>2264</v>
      </c>
      <c r="AN147" t="s">
        <v>2265</v>
      </c>
      <c r="AO147" t="s">
        <v>2297</v>
      </c>
      <c r="AP147" t="s">
        <v>74</v>
      </c>
      <c r="AQ147" t="s">
        <v>74</v>
      </c>
      <c r="AR147" t="s">
        <v>2298</v>
      </c>
      <c r="AS147" t="s">
        <v>2299</v>
      </c>
      <c r="AT147" t="s">
        <v>74</v>
      </c>
      <c r="AU147">
        <v>1999</v>
      </c>
      <c r="AV147">
        <v>65</v>
      </c>
      <c r="AW147" t="s">
        <v>412</v>
      </c>
      <c r="AX147" t="s">
        <v>74</v>
      </c>
      <c r="AY147" t="s">
        <v>74</v>
      </c>
      <c r="AZ147" t="s">
        <v>74</v>
      </c>
      <c r="BA147" t="s">
        <v>74</v>
      </c>
      <c r="BB147">
        <v>51</v>
      </c>
      <c r="BC147">
        <v>67</v>
      </c>
      <c r="BD147" t="s">
        <v>74</v>
      </c>
      <c r="BE147" t="s">
        <v>2300</v>
      </c>
      <c r="BF147" t="str">
        <f>HYPERLINK("http://dx.doi.org/10.1007/BF01161576","http://dx.doi.org/10.1007/BF01161576")</f>
        <v>http://dx.doi.org/10.1007/BF01161576</v>
      </c>
      <c r="BG147" t="s">
        <v>74</v>
      </c>
      <c r="BH147" t="s">
        <v>74</v>
      </c>
      <c r="BI147">
        <v>17</v>
      </c>
      <c r="BJ147" t="s">
        <v>2301</v>
      </c>
      <c r="BK147" t="s">
        <v>95</v>
      </c>
      <c r="BL147" t="s">
        <v>2301</v>
      </c>
      <c r="BM147" t="s">
        <v>2302</v>
      </c>
      <c r="BN147" t="s">
        <v>74</v>
      </c>
      <c r="BO147" t="s">
        <v>74</v>
      </c>
      <c r="BP147" t="s">
        <v>74</v>
      </c>
      <c r="BQ147" t="s">
        <v>74</v>
      </c>
      <c r="BR147" t="s">
        <v>98</v>
      </c>
      <c r="BS147" t="s">
        <v>2303</v>
      </c>
      <c r="BT147" t="str">
        <f>HYPERLINK("https%3A%2F%2Fwww.webofscience.com%2Fwos%2Fwoscc%2Ffull-record%2FWOS:000079888900003","View Full Record in Web of Science")</f>
        <v>View Full Record in Web of Science</v>
      </c>
    </row>
    <row r="148" spans="1:72" x14ac:dyDescent="0.15">
      <c r="A148" t="s">
        <v>147</v>
      </c>
      <c r="B148" t="s">
        <v>2304</v>
      </c>
      <c r="C148" t="s">
        <v>74</v>
      </c>
      <c r="D148" t="s">
        <v>2305</v>
      </c>
      <c r="E148" t="s">
        <v>74</v>
      </c>
      <c r="F148" t="s">
        <v>2304</v>
      </c>
      <c r="G148" t="s">
        <v>74</v>
      </c>
      <c r="H148" t="s">
        <v>74</v>
      </c>
      <c r="I148" t="s">
        <v>2306</v>
      </c>
      <c r="J148" t="s">
        <v>2307</v>
      </c>
      <c r="K148" t="s">
        <v>2308</v>
      </c>
      <c r="L148" t="s">
        <v>74</v>
      </c>
      <c r="M148" t="s">
        <v>77</v>
      </c>
      <c r="N148" t="s">
        <v>153</v>
      </c>
      <c r="O148" t="s">
        <v>2309</v>
      </c>
      <c r="P148" t="s">
        <v>2310</v>
      </c>
      <c r="Q148" t="s">
        <v>2311</v>
      </c>
      <c r="R148" t="s">
        <v>74</v>
      </c>
      <c r="S148" t="s">
        <v>74</v>
      </c>
      <c r="T148" t="s">
        <v>74</v>
      </c>
      <c r="U148" t="s">
        <v>2312</v>
      </c>
      <c r="V148" t="s">
        <v>74</v>
      </c>
      <c r="W148" t="s">
        <v>2313</v>
      </c>
      <c r="X148" t="s">
        <v>544</v>
      </c>
      <c r="Y148" t="s">
        <v>2314</v>
      </c>
      <c r="Z148" t="s">
        <v>74</v>
      </c>
      <c r="AA148" t="s">
        <v>74</v>
      </c>
      <c r="AB148" t="s">
        <v>74</v>
      </c>
      <c r="AC148" t="s">
        <v>74</v>
      </c>
      <c r="AD148" t="s">
        <v>74</v>
      </c>
      <c r="AE148" t="s">
        <v>74</v>
      </c>
      <c r="AF148" t="s">
        <v>74</v>
      </c>
      <c r="AG148">
        <v>108</v>
      </c>
      <c r="AH148">
        <v>2</v>
      </c>
      <c r="AI148">
        <v>3</v>
      </c>
      <c r="AJ148">
        <v>0</v>
      </c>
      <c r="AK148">
        <v>4</v>
      </c>
      <c r="AL148" t="s">
        <v>2315</v>
      </c>
      <c r="AM148" t="s">
        <v>278</v>
      </c>
      <c r="AN148" t="s">
        <v>806</v>
      </c>
      <c r="AO148" t="s">
        <v>2316</v>
      </c>
      <c r="AP148" t="s">
        <v>74</v>
      </c>
      <c r="AQ148" t="s">
        <v>2317</v>
      </c>
      <c r="AR148" t="s">
        <v>2318</v>
      </c>
      <c r="AS148" t="s">
        <v>74</v>
      </c>
      <c r="AT148" t="s">
        <v>74</v>
      </c>
      <c r="AU148">
        <v>1999</v>
      </c>
      <c r="AV148">
        <v>373</v>
      </c>
      <c r="AW148" t="s">
        <v>74</v>
      </c>
      <c r="AX148" t="s">
        <v>74</v>
      </c>
      <c r="AY148" t="s">
        <v>74</v>
      </c>
      <c r="AZ148" t="s">
        <v>74</v>
      </c>
      <c r="BA148" t="s">
        <v>74</v>
      </c>
      <c r="BB148">
        <v>229</v>
      </c>
      <c r="BC148">
        <v>272</v>
      </c>
      <c r="BD148" t="s">
        <v>74</v>
      </c>
      <c r="BE148" t="s">
        <v>74</v>
      </c>
      <c r="BF148" t="s">
        <v>74</v>
      </c>
      <c r="BG148" t="s">
        <v>74</v>
      </c>
      <c r="BH148" t="s">
        <v>74</v>
      </c>
      <c r="BI148">
        <v>44</v>
      </c>
      <c r="BJ148" t="s">
        <v>2319</v>
      </c>
      <c r="BK148" t="s">
        <v>171</v>
      </c>
      <c r="BL148" t="s">
        <v>2320</v>
      </c>
      <c r="BM148" t="s">
        <v>2321</v>
      </c>
      <c r="BN148" t="s">
        <v>74</v>
      </c>
      <c r="BO148" t="s">
        <v>74</v>
      </c>
      <c r="BP148" t="s">
        <v>74</v>
      </c>
      <c r="BQ148" t="s">
        <v>74</v>
      </c>
      <c r="BR148" t="s">
        <v>98</v>
      </c>
      <c r="BS148" t="s">
        <v>2322</v>
      </c>
      <c r="BT148" t="str">
        <f>HYPERLINK("https%3A%2F%2Fwww.webofscience.com%2Fwos%2Fwoscc%2Ffull-record%2FWOS:000083967900009","View Full Record in Web of Science")</f>
        <v>View Full Record in Web of Science</v>
      </c>
    </row>
    <row r="149" spans="1:72" x14ac:dyDescent="0.15">
      <c r="A149" t="s">
        <v>72</v>
      </c>
      <c r="B149" t="s">
        <v>2323</v>
      </c>
      <c r="C149" t="s">
        <v>74</v>
      </c>
      <c r="D149" t="s">
        <v>74</v>
      </c>
      <c r="E149" t="s">
        <v>74</v>
      </c>
      <c r="F149" t="s">
        <v>2323</v>
      </c>
      <c r="G149" t="s">
        <v>74</v>
      </c>
      <c r="H149" t="s">
        <v>74</v>
      </c>
      <c r="I149" t="s">
        <v>2324</v>
      </c>
      <c r="J149" t="s">
        <v>2325</v>
      </c>
      <c r="K149" t="s">
        <v>74</v>
      </c>
      <c r="L149" t="s">
        <v>74</v>
      </c>
      <c r="M149" t="s">
        <v>77</v>
      </c>
      <c r="N149" t="s">
        <v>103</v>
      </c>
      <c r="O149" t="s">
        <v>74</v>
      </c>
      <c r="P149" t="s">
        <v>74</v>
      </c>
      <c r="Q149" t="s">
        <v>74</v>
      </c>
      <c r="R149" t="s">
        <v>74</v>
      </c>
      <c r="S149" t="s">
        <v>74</v>
      </c>
      <c r="T149" t="s">
        <v>2326</v>
      </c>
      <c r="U149" t="s">
        <v>74</v>
      </c>
      <c r="V149" t="s">
        <v>74</v>
      </c>
      <c r="W149" t="s">
        <v>2327</v>
      </c>
      <c r="X149" t="s">
        <v>1995</v>
      </c>
      <c r="Y149" t="s">
        <v>2328</v>
      </c>
      <c r="Z149" t="s">
        <v>74</v>
      </c>
      <c r="AA149" t="s">
        <v>74</v>
      </c>
      <c r="AB149" t="s">
        <v>74</v>
      </c>
      <c r="AC149" t="s">
        <v>74</v>
      </c>
      <c r="AD149" t="s">
        <v>74</v>
      </c>
      <c r="AE149" t="s">
        <v>74</v>
      </c>
      <c r="AF149" t="s">
        <v>74</v>
      </c>
      <c r="AG149">
        <v>6</v>
      </c>
      <c r="AH149">
        <v>11</v>
      </c>
      <c r="AI149">
        <v>12</v>
      </c>
      <c r="AJ149">
        <v>0</v>
      </c>
      <c r="AK149">
        <v>4</v>
      </c>
      <c r="AL149" t="s">
        <v>1716</v>
      </c>
      <c r="AM149" t="s">
        <v>229</v>
      </c>
      <c r="AN149" t="s">
        <v>1717</v>
      </c>
      <c r="AO149" t="s">
        <v>2329</v>
      </c>
      <c r="AP149" t="s">
        <v>74</v>
      </c>
      <c r="AQ149" t="s">
        <v>74</v>
      </c>
      <c r="AR149" t="s">
        <v>2330</v>
      </c>
      <c r="AS149" t="s">
        <v>2331</v>
      </c>
      <c r="AT149" t="s">
        <v>143</v>
      </c>
      <c r="AU149">
        <v>1999</v>
      </c>
      <c r="AV149">
        <v>8</v>
      </c>
      <c r="AW149">
        <v>1</v>
      </c>
      <c r="AX149" t="s">
        <v>74</v>
      </c>
      <c r="AY149" t="s">
        <v>74</v>
      </c>
      <c r="AZ149" t="s">
        <v>74</v>
      </c>
      <c r="BA149" t="s">
        <v>74</v>
      </c>
      <c r="BB149">
        <v>165</v>
      </c>
      <c r="BC149">
        <v>167</v>
      </c>
      <c r="BD149" t="s">
        <v>74</v>
      </c>
      <c r="BE149" t="s">
        <v>74</v>
      </c>
      <c r="BF149" t="s">
        <v>74</v>
      </c>
      <c r="BG149" t="s">
        <v>74</v>
      </c>
      <c r="BH149" t="s">
        <v>74</v>
      </c>
      <c r="BI149">
        <v>3</v>
      </c>
      <c r="BJ149" t="s">
        <v>2332</v>
      </c>
      <c r="BK149" t="s">
        <v>95</v>
      </c>
      <c r="BL149" t="s">
        <v>2333</v>
      </c>
      <c r="BM149" t="s">
        <v>2334</v>
      </c>
      <c r="BN149" t="s">
        <v>74</v>
      </c>
      <c r="BO149" t="s">
        <v>74</v>
      </c>
      <c r="BP149" t="s">
        <v>74</v>
      </c>
      <c r="BQ149" t="s">
        <v>74</v>
      </c>
      <c r="BR149" t="s">
        <v>98</v>
      </c>
      <c r="BS149" t="s">
        <v>2335</v>
      </c>
      <c r="BT149" t="str">
        <f>HYPERLINK("https%3A%2F%2Fwww.webofscience.com%2Fwos%2Fwoscc%2Ffull-record%2FWOS:000078269200022","View Full Record in Web of Science")</f>
        <v>View Full Record in Web of Science</v>
      </c>
    </row>
    <row r="150" spans="1:72" x14ac:dyDescent="0.15">
      <c r="A150" t="s">
        <v>72</v>
      </c>
      <c r="B150" t="s">
        <v>2336</v>
      </c>
      <c r="C150" t="s">
        <v>74</v>
      </c>
      <c r="D150" t="s">
        <v>74</v>
      </c>
      <c r="E150" t="s">
        <v>74</v>
      </c>
      <c r="F150" t="s">
        <v>2336</v>
      </c>
      <c r="G150" t="s">
        <v>74</v>
      </c>
      <c r="H150" t="s">
        <v>74</v>
      </c>
      <c r="I150" t="s">
        <v>2337</v>
      </c>
      <c r="J150" t="s">
        <v>2338</v>
      </c>
      <c r="K150" t="s">
        <v>74</v>
      </c>
      <c r="L150" t="s">
        <v>74</v>
      </c>
      <c r="M150" t="s">
        <v>77</v>
      </c>
      <c r="N150" t="s">
        <v>103</v>
      </c>
      <c r="O150" t="s">
        <v>74</v>
      </c>
      <c r="P150" t="s">
        <v>74</v>
      </c>
      <c r="Q150" t="s">
        <v>74</v>
      </c>
      <c r="R150" t="s">
        <v>74</v>
      </c>
      <c r="S150" t="s">
        <v>74</v>
      </c>
      <c r="T150" t="s">
        <v>2339</v>
      </c>
      <c r="U150" t="s">
        <v>74</v>
      </c>
      <c r="V150" t="s">
        <v>2340</v>
      </c>
      <c r="W150" t="s">
        <v>2341</v>
      </c>
      <c r="X150" t="s">
        <v>74</v>
      </c>
      <c r="Y150" t="s">
        <v>2342</v>
      </c>
      <c r="Z150" t="s">
        <v>74</v>
      </c>
      <c r="AA150" t="s">
        <v>74</v>
      </c>
      <c r="AB150" t="s">
        <v>74</v>
      </c>
      <c r="AC150" t="s">
        <v>74</v>
      </c>
      <c r="AD150" t="s">
        <v>74</v>
      </c>
      <c r="AE150" t="s">
        <v>74</v>
      </c>
      <c r="AF150" t="s">
        <v>74</v>
      </c>
      <c r="AG150">
        <v>6</v>
      </c>
      <c r="AH150">
        <v>1</v>
      </c>
      <c r="AI150">
        <v>1</v>
      </c>
      <c r="AJ150">
        <v>1</v>
      </c>
      <c r="AK150">
        <v>1</v>
      </c>
      <c r="AL150" t="s">
        <v>2343</v>
      </c>
      <c r="AM150" t="s">
        <v>2344</v>
      </c>
      <c r="AN150" t="s">
        <v>2345</v>
      </c>
      <c r="AO150" t="s">
        <v>2346</v>
      </c>
      <c r="AP150" t="s">
        <v>74</v>
      </c>
      <c r="AQ150" t="s">
        <v>74</v>
      </c>
      <c r="AR150" t="s">
        <v>2338</v>
      </c>
      <c r="AS150" t="s">
        <v>2347</v>
      </c>
      <c r="AT150" t="s">
        <v>850</v>
      </c>
      <c r="AU150">
        <v>1999</v>
      </c>
      <c r="AV150">
        <v>70</v>
      </c>
      <c r="AW150" t="s">
        <v>74</v>
      </c>
      <c r="AX150" t="s">
        <v>74</v>
      </c>
      <c r="AY150" t="s">
        <v>74</v>
      </c>
      <c r="AZ150" t="s">
        <v>74</v>
      </c>
      <c r="BA150" t="s">
        <v>74</v>
      </c>
      <c r="BB150">
        <v>73</v>
      </c>
      <c r="BC150">
        <v>75</v>
      </c>
      <c r="BD150" t="s">
        <v>74</v>
      </c>
      <c r="BE150" t="s">
        <v>74</v>
      </c>
      <c r="BF150" t="s">
        <v>74</v>
      </c>
      <c r="BG150" t="s">
        <v>74</v>
      </c>
      <c r="BH150" t="s">
        <v>74</v>
      </c>
      <c r="BI150">
        <v>3</v>
      </c>
      <c r="BJ150" t="s">
        <v>2348</v>
      </c>
      <c r="BK150" t="s">
        <v>95</v>
      </c>
      <c r="BL150" t="s">
        <v>2348</v>
      </c>
      <c r="BM150" t="s">
        <v>2349</v>
      </c>
      <c r="BN150" t="s">
        <v>74</v>
      </c>
      <c r="BO150" t="s">
        <v>74</v>
      </c>
      <c r="BP150" t="s">
        <v>74</v>
      </c>
      <c r="BQ150" t="s">
        <v>74</v>
      </c>
      <c r="BR150" t="s">
        <v>98</v>
      </c>
      <c r="BS150" t="s">
        <v>2350</v>
      </c>
      <c r="BT150" t="str">
        <f>HYPERLINK("https%3A%2F%2Fwww.webofscience.com%2Fwos%2Fwoscc%2Ffull-record%2FWOS:000079059200009","View Full Record in Web of Science")</f>
        <v>View Full Record in Web of Science</v>
      </c>
    </row>
    <row r="151" spans="1:72" x14ac:dyDescent="0.15">
      <c r="A151" t="s">
        <v>72</v>
      </c>
      <c r="B151" t="s">
        <v>2351</v>
      </c>
      <c r="C151" t="s">
        <v>74</v>
      </c>
      <c r="D151" t="s">
        <v>74</v>
      </c>
      <c r="E151" t="s">
        <v>74</v>
      </c>
      <c r="F151" t="s">
        <v>2351</v>
      </c>
      <c r="G151" t="s">
        <v>74</v>
      </c>
      <c r="H151" t="s">
        <v>74</v>
      </c>
      <c r="I151" t="s">
        <v>2352</v>
      </c>
      <c r="J151" t="s">
        <v>2353</v>
      </c>
      <c r="K151" t="s">
        <v>74</v>
      </c>
      <c r="L151" t="s">
        <v>74</v>
      </c>
      <c r="M151" t="s">
        <v>77</v>
      </c>
      <c r="N151" t="s">
        <v>103</v>
      </c>
      <c r="O151" t="s">
        <v>74</v>
      </c>
      <c r="P151" t="s">
        <v>74</v>
      </c>
      <c r="Q151" t="s">
        <v>74</v>
      </c>
      <c r="R151" t="s">
        <v>74</v>
      </c>
      <c r="S151" t="s">
        <v>74</v>
      </c>
      <c r="T151" t="s">
        <v>2354</v>
      </c>
      <c r="U151" t="s">
        <v>2355</v>
      </c>
      <c r="V151" t="s">
        <v>2356</v>
      </c>
      <c r="W151" t="s">
        <v>2357</v>
      </c>
      <c r="X151" t="s">
        <v>2358</v>
      </c>
      <c r="Y151" t="s">
        <v>2359</v>
      </c>
      <c r="Z151" t="s">
        <v>2360</v>
      </c>
      <c r="AA151" t="s">
        <v>74</v>
      </c>
      <c r="AB151" t="s">
        <v>74</v>
      </c>
      <c r="AC151" t="s">
        <v>74</v>
      </c>
      <c r="AD151" t="s">
        <v>74</v>
      </c>
      <c r="AE151" t="s">
        <v>74</v>
      </c>
      <c r="AF151" t="s">
        <v>74</v>
      </c>
      <c r="AG151">
        <v>32</v>
      </c>
      <c r="AH151">
        <v>5</v>
      </c>
      <c r="AI151">
        <v>5</v>
      </c>
      <c r="AJ151">
        <v>0</v>
      </c>
      <c r="AK151">
        <v>5</v>
      </c>
      <c r="AL151" t="s">
        <v>2361</v>
      </c>
      <c r="AM151" t="s">
        <v>2362</v>
      </c>
      <c r="AN151" t="s">
        <v>2363</v>
      </c>
      <c r="AO151" t="s">
        <v>2364</v>
      </c>
      <c r="AP151" t="s">
        <v>2365</v>
      </c>
      <c r="AQ151" t="s">
        <v>74</v>
      </c>
      <c r="AR151" t="s">
        <v>2366</v>
      </c>
      <c r="AS151" t="s">
        <v>2367</v>
      </c>
      <c r="AT151" t="s">
        <v>74</v>
      </c>
      <c r="AU151">
        <v>1999</v>
      </c>
      <c r="AV151">
        <v>23</v>
      </c>
      <c r="AW151">
        <v>1</v>
      </c>
      <c r="AX151" t="s">
        <v>74</v>
      </c>
      <c r="AY151" t="s">
        <v>74</v>
      </c>
      <c r="AZ151" t="s">
        <v>74</v>
      </c>
      <c r="BA151" t="s">
        <v>74</v>
      </c>
      <c r="BB151">
        <v>87</v>
      </c>
      <c r="BC151">
        <v>93</v>
      </c>
      <c r="BD151" t="s">
        <v>74</v>
      </c>
      <c r="BE151" t="s">
        <v>74</v>
      </c>
      <c r="BF151" t="s">
        <v>74</v>
      </c>
      <c r="BG151" t="s">
        <v>74</v>
      </c>
      <c r="BH151" t="s">
        <v>74</v>
      </c>
      <c r="BI151">
        <v>7</v>
      </c>
      <c r="BJ151" t="s">
        <v>660</v>
      </c>
      <c r="BK151" t="s">
        <v>95</v>
      </c>
      <c r="BL151" t="s">
        <v>661</v>
      </c>
      <c r="BM151" t="s">
        <v>2368</v>
      </c>
      <c r="BN151" t="s">
        <v>74</v>
      </c>
      <c r="BO151" t="s">
        <v>74</v>
      </c>
      <c r="BP151" t="s">
        <v>74</v>
      </c>
      <c r="BQ151" t="s">
        <v>74</v>
      </c>
      <c r="BR151" t="s">
        <v>98</v>
      </c>
      <c r="BS151" t="s">
        <v>2369</v>
      </c>
      <c r="BT151" t="str">
        <f>HYPERLINK("https%3A%2F%2Fwww.webofscience.com%2Fwos%2Fwoscc%2Ffull-record%2FWOS:000081128000011","View Full Record in Web of Science")</f>
        <v>View Full Record in Web of Science</v>
      </c>
    </row>
    <row r="152" spans="1:72" x14ac:dyDescent="0.15">
      <c r="A152" t="s">
        <v>147</v>
      </c>
      <c r="B152" t="s">
        <v>2370</v>
      </c>
      <c r="C152" t="s">
        <v>74</v>
      </c>
      <c r="D152" t="s">
        <v>2371</v>
      </c>
      <c r="E152" t="s">
        <v>74</v>
      </c>
      <c r="F152" t="s">
        <v>2370</v>
      </c>
      <c r="G152" t="s">
        <v>74</v>
      </c>
      <c r="H152" t="s">
        <v>74</v>
      </c>
      <c r="I152" t="s">
        <v>2372</v>
      </c>
      <c r="J152" t="s">
        <v>2373</v>
      </c>
      <c r="K152" t="s">
        <v>152</v>
      </c>
      <c r="L152" t="s">
        <v>74</v>
      </c>
      <c r="M152" t="s">
        <v>77</v>
      </c>
      <c r="N152" t="s">
        <v>153</v>
      </c>
      <c r="O152" t="s">
        <v>2374</v>
      </c>
      <c r="P152" t="s">
        <v>2375</v>
      </c>
      <c r="Q152" t="s">
        <v>2376</v>
      </c>
      <c r="R152" t="s">
        <v>74</v>
      </c>
      <c r="S152" t="s">
        <v>74</v>
      </c>
      <c r="T152" t="s">
        <v>2377</v>
      </c>
      <c r="U152" t="s">
        <v>74</v>
      </c>
      <c r="V152" t="s">
        <v>2378</v>
      </c>
      <c r="W152" t="s">
        <v>314</v>
      </c>
      <c r="X152" t="s">
        <v>315</v>
      </c>
      <c r="Y152" t="s">
        <v>2379</v>
      </c>
      <c r="Z152" t="s">
        <v>74</v>
      </c>
      <c r="AA152" t="s">
        <v>74</v>
      </c>
      <c r="AB152" t="s">
        <v>74</v>
      </c>
      <c r="AC152" t="s">
        <v>74</v>
      </c>
      <c r="AD152" t="s">
        <v>74</v>
      </c>
      <c r="AE152" t="s">
        <v>74</v>
      </c>
      <c r="AF152" t="s">
        <v>74</v>
      </c>
      <c r="AG152">
        <v>2</v>
      </c>
      <c r="AH152">
        <v>1</v>
      </c>
      <c r="AI152">
        <v>1</v>
      </c>
      <c r="AJ152">
        <v>0</v>
      </c>
      <c r="AK152">
        <v>0</v>
      </c>
      <c r="AL152" t="s">
        <v>163</v>
      </c>
      <c r="AM152" t="s">
        <v>164</v>
      </c>
      <c r="AN152" t="s">
        <v>165</v>
      </c>
      <c r="AO152" t="s">
        <v>166</v>
      </c>
      <c r="AP152" t="s">
        <v>74</v>
      </c>
      <c r="AQ152" t="s">
        <v>2380</v>
      </c>
      <c r="AR152" t="s">
        <v>168</v>
      </c>
      <c r="AS152" t="s">
        <v>74</v>
      </c>
      <c r="AT152" t="s">
        <v>74</v>
      </c>
      <c r="AU152">
        <v>1999</v>
      </c>
      <c r="AV152">
        <v>3585</v>
      </c>
      <c r="AW152" t="s">
        <v>74</v>
      </c>
      <c r="AX152" t="s">
        <v>74</v>
      </c>
      <c r="AY152" t="s">
        <v>74</v>
      </c>
      <c r="AZ152" t="s">
        <v>74</v>
      </c>
      <c r="BA152" t="s">
        <v>74</v>
      </c>
      <c r="BB152">
        <v>73</v>
      </c>
      <c r="BC152">
        <v>83</v>
      </c>
      <c r="BD152" t="s">
        <v>74</v>
      </c>
      <c r="BE152" t="s">
        <v>74</v>
      </c>
      <c r="BF152" t="s">
        <v>74</v>
      </c>
      <c r="BG152" t="s">
        <v>74</v>
      </c>
      <c r="BH152" t="s">
        <v>74</v>
      </c>
      <c r="BI152">
        <v>11</v>
      </c>
      <c r="BJ152" t="s">
        <v>2381</v>
      </c>
      <c r="BK152" t="s">
        <v>171</v>
      </c>
      <c r="BL152" t="s">
        <v>2382</v>
      </c>
      <c r="BM152" t="s">
        <v>2383</v>
      </c>
      <c r="BN152" t="s">
        <v>74</v>
      </c>
      <c r="BO152" t="s">
        <v>74</v>
      </c>
      <c r="BP152" t="s">
        <v>74</v>
      </c>
      <c r="BQ152" t="s">
        <v>74</v>
      </c>
      <c r="BR152" t="s">
        <v>98</v>
      </c>
      <c r="BS152" t="s">
        <v>2384</v>
      </c>
      <c r="BT152" t="str">
        <f>HYPERLINK("https%3A%2F%2Fwww.webofscience.com%2Fwos%2Fwoscc%2Ffull-record%2FWOS:000079846400008","View Full Record in Web of Science")</f>
        <v>View Full Record in Web of Science</v>
      </c>
    </row>
    <row r="153" spans="1:72" x14ac:dyDescent="0.15">
      <c r="A153" t="s">
        <v>72</v>
      </c>
      <c r="B153" t="s">
        <v>2385</v>
      </c>
      <c r="C153" t="s">
        <v>74</v>
      </c>
      <c r="D153" t="s">
        <v>74</v>
      </c>
      <c r="E153" t="s">
        <v>74</v>
      </c>
      <c r="F153" t="s">
        <v>2385</v>
      </c>
      <c r="G153" t="s">
        <v>74</v>
      </c>
      <c r="H153" t="s">
        <v>74</v>
      </c>
      <c r="I153" t="s">
        <v>2386</v>
      </c>
      <c r="J153" t="s">
        <v>2387</v>
      </c>
      <c r="K153" t="s">
        <v>74</v>
      </c>
      <c r="L153" t="s">
        <v>74</v>
      </c>
      <c r="M153" t="s">
        <v>77</v>
      </c>
      <c r="N153" t="s">
        <v>103</v>
      </c>
      <c r="O153" t="s">
        <v>74</v>
      </c>
      <c r="P153" t="s">
        <v>74</v>
      </c>
      <c r="Q153" t="s">
        <v>74</v>
      </c>
      <c r="R153" t="s">
        <v>74</v>
      </c>
      <c r="S153" t="s">
        <v>74</v>
      </c>
      <c r="T153" t="s">
        <v>74</v>
      </c>
      <c r="U153" t="s">
        <v>74</v>
      </c>
      <c r="V153" t="s">
        <v>2388</v>
      </c>
      <c r="W153" t="s">
        <v>2389</v>
      </c>
      <c r="X153" t="s">
        <v>74</v>
      </c>
      <c r="Y153" t="s">
        <v>74</v>
      </c>
      <c r="Z153" t="s">
        <v>74</v>
      </c>
      <c r="AA153" t="s">
        <v>74</v>
      </c>
      <c r="AB153" t="s">
        <v>74</v>
      </c>
      <c r="AC153" t="s">
        <v>74</v>
      </c>
      <c r="AD153" t="s">
        <v>74</v>
      </c>
      <c r="AE153" t="s">
        <v>74</v>
      </c>
      <c r="AF153" t="s">
        <v>74</v>
      </c>
      <c r="AG153">
        <v>34</v>
      </c>
      <c r="AH153">
        <v>7</v>
      </c>
      <c r="AI153">
        <v>7</v>
      </c>
      <c r="AJ153">
        <v>1</v>
      </c>
      <c r="AK153">
        <v>5</v>
      </c>
      <c r="AL153" t="s">
        <v>2387</v>
      </c>
      <c r="AM153" t="s">
        <v>2390</v>
      </c>
      <c r="AN153" t="s">
        <v>2391</v>
      </c>
      <c r="AO153" t="s">
        <v>2392</v>
      </c>
      <c r="AP153" t="s">
        <v>74</v>
      </c>
      <c r="AQ153" t="s">
        <v>74</v>
      </c>
      <c r="AR153" t="s">
        <v>2393</v>
      </c>
      <c r="AS153" t="s">
        <v>2394</v>
      </c>
      <c r="AT153" t="s">
        <v>74</v>
      </c>
      <c r="AU153">
        <v>1999</v>
      </c>
      <c r="AV153">
        <v>19</v>
      </c>
      <c r="AW153">
        <v>6</v>
      </c>
      <c r="AX153" t="s">
        <v>74</v>
      </c>
      <c r="AY153" t="s">
        <v>74</v>
      </c>
      <c r="AZ153" t="s">
        <v>74</v>
      </c>
      <c r="BA153" t="s">
        <v>74</v>
      </c>
      <c r="BB153">
        <v>685</v>
      </c>
      <c r="BC153">
        <v>706</v>
      </c>
      <c r="BD153" t="s">
        <v>74</v>
      </c>
      <c r="BE153" t="s">
        <v>2395</v>
      </c>
      <c r="BF153" t="str">
        <f>HYPERLINK("http://dx.doi.org/10.1111/j.1756-1051.1999.tb00679.x","http://dx.doi.org/10.1111/j.1756-1051.1999.tb00679.x")</f>
        <v>http://dx.doi.org/10.1111/j.1756-1051.1999.tb00679.x</v>
      </c>
      <c r="BG153" t="s">
        <v>74</v>
      </c>
      <c r="BH153" t="s">
        <v>74</v>
      </c>
      <c r="BI153">
        <v>22</v>
      </c>
      <c r="BJ153" t="s">
        <v>382</v>
      </c>
      <c r="BK153" t="s">
        <v>95</v>
      </c>
      <c r="BL153" t="s">
        <v>382</v>
      </c>
      <c r="BM153" t="s">
        <v>2396</v>
      </c>
      <c r="BN153" t="s">
        <v>74</v>
      </c>
      <c r="BO153" t="s">
        <v>74</v>
      </c>
      <c r="BP153" t="s">
        <v>74</v>
      </c>
      <c r="BQ153" t="s">
        <v>74</v>
      </c>
      <c r="BR153" t="s">
        <v>98</v>
      </c>
      <c r="BS153" t="s">
        <v>2397</v>
      </c>
      <c r="BT153" t="str">
        <f>HYPERLINK("https%3A%2F%2Fwww.webofscience.com%2Fwos%2Fwoscc%2Ffull-record%2FWOS:000085597400006","View Full Record in Web of Science")</f>
        <v>View Full Record in Web of Science</v>
      </c>
    </row>
    <row r="154" spans="1:72" x14ac:dyDescent="0.15">
      <c r="A154" t="s">
        <v>72</v>
      </c>
      <c r="B154" t="s">
        <v>2398</v>
      </c>
      <c r="C154" t="s">
        <v>74</v>
      </c>
      <c r="D154" t="s">
        <v>74</v>
      </c>
      <c r="E154" t="s">
        <v>74</v>
      </c>
      <c r="F154" t="s">
        <v>2398</v>
      </c>
      <c r="G154" t="s">
        <v>74</v>
      </c>
      <c r="H154" t="s">
        <v>74</v>
      </c>
      <c r="I154" t="s">
        <v>2399</v>
      </c>
      <c r="J154" t="s">
        <v>2400</v>
      </c>
      <c r="K154" t="s">
        <v>74</v>
      </c>
      <c r="L154" t="s">
        <v>74</v>
      </c>
      <c r="M154" t="s">
        <v>77</v>
      </c>
      <c r="N154" t="s">
        <v>78</v>
      </c>
      <c r="O154" t="s">
        <v>74</v>
      </c>
      <c r="P154" t="s">
        <v>74</v>
      </c>
      <c r="Q154" t="s">
        <v>74</v>
      </c>
      <c r="R154" t="s">
        <v>74</v>
      </c>
      <c r="S154" t="s">
        <v>74</v>
      </c>
      <c r="T154" t="s">
        <v>74</v>
      </c>
      <c r="U154" t="s">
        <v>2401</v>
      </c>
      <c r="V154" t="s">
        <v>2402</v>
      </c>
      <c r="W154" t="s">
        <v>2403</v>
      </c>
      <c r="X154" t="s">
        <v>2404</v>
      </c>
      <c r="Y154" t="s">
        <v>2405</v>
      </c>
      <c r="Z154" t="s">
        <v>74</v>
      </c>
      <c r="AA154" t="s">
        <v>2406</v>
      </c>
      <c r="AB154" t="s">
        <v>2407</v>
      </c>
      <c r="AC154" t="s">
        <v>74</v>
      </c>
      <c r="AD154" t="s">
        <v>74</v>
      </c>
      <c r="AE154" t="s">
        <v>74</v>
      </c>
      <c r="AF154" t="s">
        <v>74</v>
      </c>
      <c r="AG154">
        <v>121</v>
      </c>
      <c r="AH154">
        <v>47</v>
      </c>
      <c r="AI154">
        <v>53</v>
      </c>
      <c r="AJ154">
        <v>0</v>
      </c>
      <c r="AK154">
        <v>16</v>
      </c>
      <c r="AL154" t="s">
        <v>2408</v>
      </c>
      <c r="AM154" t="s">
        <v>2409</v>
      </c>
      <c r="AN154" t="s">
        <v>2410</v>
      </c>
      <c r="AO154" t="s">
        <v>2411</v>
      </c>
      <c r="AP154" t="s">
        <v>74</v>
      </c>
      <c r="AQ154" t="s">
        <v>74</v>
      </c>
      <c r="AR154" t="s">
        <v>2400</v>
      </c>
      <c r="AS154" t="s">
        <v>2412</v>
      </c>
      <c r="AT154" t="s">
        <v>74</v>
      </c>
      <c r="AU154">
        <v>1999</v>
      </c>
      <c r="AV154">
        <v>68</v>
      </c>
      <c r="AW154" t="s">
        <v>1282</v>
      </c>
      <c r="AX154" t="s">
        <v>74</v>
      </c>
      <c r="AY154" t="s">
        <v>74</v>
      </c>
      <c r="AZ154" t="s">
        <v>74</v>
      </c>
      <c r="BA154" t="s">
        <v>74</v>
      </c>
      <c r="BB154">
        <v>301</v>
      </c>
      <c r="BC154">
        <v>337</v>
      </c>
      <c r="BD154" t="s">
        <v>74</v>
      </c>
      <c r="BE154" t="s">
        <v>74</v>
      </c>
      <c r="BF154" t="s">
        <v>74</v>
      </c>
      <c r="BG154" t="s">
        <v>74</v>
      </c>
      <c r="BH154" t="s">
        <v>74</v>
      </c>
      <c r="BI154">
        <v>37</v>
      </c>
      <c r="BJ154" t="s">
        <v>382</v>
      </c>
      <c r="BK154" t="s">
        <v>95</v>
      </c>
      <c r="BL154" t="s">
        <v>382</v>
      </c>
      <c r="BM154" t="s">
        <v>2413</v>
      </c>
      <c r="BN154" t="s">
        <v>74</v>
      </c>
      <c r="BO154" t="s">
        <v>74</v>
      </c>
      <c r="BP154" t="s">
        <v>74</v>
      </c>
      <c r="BQ154" t="s">
        <v>74</v>
      </c>
      <c r="BR154" t="s">
        <v>98</v>
      </c>
      <c r="BS154" t="s">
        <v>2414</v>
      </c>
      <c r="BT154" t="str">
        <f>HYPERLINK("https%3A%2F%2Fwww.webofscience.com%2Fwos%2Fwoscc%2Ffull-record%2FWOS:000081000100003","View Full Record in Web of Science")</f>
        <v>View Full Record in Web of Science</v>
      </c>
    </row>
    <row r="155" spans="1:72" x14ac:dyDescent="0.15">
      <c r="A155" t="s">
        <v>147</v>
      </c>
      <c r="B155" t="s">
        <v>2415</v>
      </c>
      <c r="C155" t="s">
        <v>74</v>
      </c>
      <c r="D155" t="s">
        <v>2416</v>
      </c>
      <c r="E155" t="s">
        <v>74</v>
      </c>
      <c r="F155" t="s">
        <v>2415</v>
      </c>
      <c r="G155" t="s">
        <v>74</v>
      </c>
      <c r="H155" t="s">
        <v>74</v>
      </c>
      <c r="I155" t="s">
        <v>2417</v>
      </c>
      <c r="J155" t="s">
        <v>2418</v>
      </c>
      <c r="K155" t="s">
        <v>74</v>
      </c>
      <c r="L155" t="s">
        <v>74</v>
      </c>
      <c r="M155" t="s">
        <v>77</v>
      </c>
      <c r="N155" t="s">
        <v>153</v>
      </c>
      <c r="O155" t="s">
        <v>2419</v>
      </c>
      <c r="P155" t="s">
        <v>2420</v>
      </c>
      <c r="Q155" t="s">
        <v>2421</v>
      </c>
      <c r="R155" t="s">
        <v>74</v>
      </c>
      <c r="S155" t="s">
        <v>74</v>
      </c>
      <c r="T155" t="s">
        <v>74</v>
      </c>
      <c r="U155" t="s">
        <v>2422</v>
      </c>
      <c r="V155" t="s">
        <v>2423</v>
      </c>
      <c r="W155" t="s">
        <v>543</v>
      </c>
      <c r="X155" t="s">
        <v>544</v>
      </c>
      <c r="Y155" t="s">
        <v>2424</v>
      </c>
      <c r="Z155" t="s">
        <v>74</v>
      </c>
      <c r="AA155" t="s">
        <v>2425</v>
      </c>
      <c r="AB155" t="s">
        <v>2426</v>
      </c>
      <c r="AC155" t="s">
        <v>74</v>
      </c>
      <c r="AD155" t="s">
        <v>74</v>
      </c>
      <c r="AE155" t="s">
        <v>74</v>
      </c>
      <c r="AF155" t="s">
        <v>74</v>
      </c>
      <c r="AG155">
        <v>20</v>
      </c>
      <c r="AH155">
        <v>11</v>
      </c>
      <c r="AI155">
        <v>11</v>
      </c>
      <c r="AJ155">
        <v>0</v>
      </c>
      <c r="AK155">
        <v>1</v>
      </c>
      <c r="AL155" t="s">
        <v>2427</v>
      </c>
      <c r="AM155" t="s">
        <v>2428</v>
      </c>
      <c r="AN155" t="s">
        <v>2429</v>
      </c>
      <c r="AO155" t="s">
        <v>74</v>
      </c>
      <c r="AP155" t="s">
        <v>74</v>
      </c>
      <c r="AQ155" t="s">
        <v>2430</v>
      </c>
      <c r="AR155" t="s">
        <v>74</v>
      </c>
      <c r="AS155" t="s">
        <v>74</v>
      </c>
      <c r="AT155" t="s">
        <v>74</v>
      </c>
      <c r="AU155">
        <v>1999</v>
      </c>
      <c r="AV155" t="s">
        <v>74</v>
      </c>
      <c r="AW155" t="s">
        <v>74</v>
      </c>
      <c r="AX155" t="s">
        <v>74</v>
      </c>
      <c r="AY155" t="s">
        <v>74</v>
      </c>
      <c r="AZ155" t="s">
        <v>74</v>
      </c>
      <c r="BA155" t="s">
        <v>74</v>
      </c>
      <c r="BB155">
        <v>17</v>
      </c>
      <c r="BC155">
        <v>34</v>
      </c>
      <c r="BD155" t="s">
        <v>74</v>
      </c>
      <c r="BE155" t="s">
        <v>74</v>
      </c>
      <c r="BF155" t="s">
        <v>74</v>
      </c>
      <c r="BG155" t="s">
        <v>74</v>
      </c>
      <c r="BH155" t="s">
        <v>74</v>
      </c>
      <c r="BI155">
        <v>18</v>
      </c>
      <c r="BJ155" t="s">
        <v>451</v>
      </c>
      <c r="BK155" t="s">
        <v>171</v>
      </c>
      <c r="BL155" t="s">
        <v>451</v>
      </c>
      <c r="BM155" t="s">
        <v>2431</v>
      </c>
      <c r="BN155" t="s">
        <v>74</v>
      </c>
      <c r="BO155" t="s">
        <v>74</v>
      </c>
      <c r="BP155" t="s">
        <v>74</v>
      </c>
      <c r="BQ155" t="s">
        <v>74</v>
      </c>
      <c r="BR155" t="s">
        <v>98</v>
      </c>
      <c r="BS155" t="s">
        <v>2432</v>
      </c>
      <c r="BT155" t="str">
        <f>HYPERLINK("https%3A%2F%2Fwww.webofscience.com%2Fwos%2Fwoscc%2Ffull-record%2FWOS:000085615900002","View Full Record in Web of Science")</f>
        <v>View Full Record in Web of Science</v>
      </c>
    </row>
    <row r="156" spans="1:72" x14ac:dyDescent="0.15">
      <c r="A156" t="s">
        <v>147</v>
      </c>
      <c r="B156" t="s">
        <v>2433</v>
      </c>
      <c r="C156" t="s">
        <v>74</v>
      </c>
      <c r="D156" t="s">
        <v>2416</v>
      </c>
      <c r="E156" t="s">
        <v>74</v>
      </c>
      <c r="F156" t="s">
        <v>2433</v>
      </c>
      <c r="G156" t="s">
        <v>74</v>
      </c>
      <c r="H156" t="s">
        <v>74</v>
      </c>
      <c r="I156" t="s">
        <v>2434</v>
      </c>
      <c r="J156" t="s">
        <v>2418</v>
      </c>
      <c r="K156" t="s">
        <v>74</v>
      </c>
      <c r="L156" t="s">
        <v>74</v>
      </c>
      <c r="M156" t="s">
        <v>77</v>
      </c>
      <c r="N156" t="s">
        <v>153</v>
      </c>
      <c r="O156" t="s">
        <v>2419</v>
      </c>
      <c r="P156" t="s">
        <v>2420</v>
      </c>
      <c r="Q156" t="s">
        <v>2421</v>
      </c>
      <c r="R156" t="s">
        <v>74</v>
      </c>
      <c r="S156" t="s">
        <v>74</v>
      </c>
      <c r="T156" t="s">
        <v>74</v>
      </c>
      <c r="U156" t="s">
        <v>2435</v>
      </c>
      <c r="V156" t="s">
        <v>2436</v>
      </c>
      <c r="W156" t="s">
        <v>2437</v>
      </c>
      <c r="X156" t="s">
        <v>2438</v>
      </c>
      <c r="Y156" t="s">
        <v>2439</v>
      </c>
      <c r="Z156" t="s">
        <v>74</v>
      </c>
      <c r="AA156" t="s">
        <v>2440</v>
      </c>
      <c r="AB156" t="s">
        <v>2441</v>
      </c>
      <c r="AC156" t="s">
        <v>74</v>
      </c>
      <c r="AD156" t="s">
        <v>74</v>
      </c>
      <c r="AE156" t="s">
        <v>74</v>
      </c>
      <c r="AF156" t="s">
        <v>74</v>
      </c>
      <c r="AG156">
        <v>33</v>
      </c>
      <c r="AH156">
        <v>7</v>
      </c>
      <c r="AI156">
        <v>9</v>
      </c>
      <c r="AJ156">
        <v>0</v>
      </c>
      <c r="AK156">
        <v>5</v>
      </c>
      <c r="AL156" t="s">
        <v>2427</v>
      </c>
      <c r="AM156" t="s">
        <v>2428</v>
      </c>
      <c r="AN156" t="s">
        <v>2429</v>
      </c>
      <c r="AO156" t="s">
        <v>74</v>
      </c>
      <c r="AP156" t="s">
        <v>74</v>
      </c>
      <c r="AQ156" t="s">
        <v>2430</v>
      </c>
      <c r="AR156" t="s">
        <v>74</v>
      </c>
      <c r="AS156" t="s">
        <v>74</v>
      </c>
      <c r="AT156" t="s">
        <v>74</v>
      </c>
      <c r="AU156">
        <v>1999</v>
      </c>
      <c r="AV156" t="s">
        <v>74</v>
      </c>
      <c r="AW156" t="s">
        <v>74</v>
      </c>
      <c r="AX156" t="s">
        <v>74</v>
      </c>
      <c r="AY156" t="s">
        <v>74</v>
      </c>
      <c r="AZ156" t="s">
        <v>74</v>
      </c>
      <c r="BA156" t="s">
        <v>74</v>
      </c>
      <c r="BB156">
        <v>37</v>
      </c>
      <c r="BC156">
        <v>50</v>
      </c>
      <c r="BD156" t="s">
        <v>74</v>
      </c>
      <c r="BE156" t="s">
        <v>74</v>
      </c>
      <c r="BF156" t="s">
        <v>74</v>
      </c>
      <c r="BG156" t="s">
        <v>74</v>
      </c>
      <c r="BH156" t="s">
        <v>74</v>
      </c>
      <c r="BI156">
        <v>14</v>
      </c>
      <c r="BJ156" t="s">
        <v>451</v>
      </c>
      <c r="BK156" t="s">
        <v>171</v>
      </c>
      <c r="BL156" t="s">
        <v>451</v>
      </c>
      <c r="BM156" t="s">
        <v>2431</v>
      </c>
      <c r="BN156" t="s">
        <v>74</v>
      </c>
      <c r="BO156" t="s">
        <v>74</v>
      </c>
      <c r="BP156" t="s">
        <v>74</v>
      </c>
      <c r="BQ156" t="s">
        <v>74</v>
      </c>
      <c r="BR156" t="s">
        <v>98</v>
      </c>
      <c r="BS156" t="s">
        <v>2442</v>
      </c>
      <c r="BT156" t="str">
        <f>HYPERLINK("https%3A%2F%2Fwww.webofscience.com%2Fwos%2Fwoscc%2Ffull-record%2FWOS:000085615900003","View Full Record in Web of Science")</f>
        <v>View Full Record in Web of Science</v>
      </c>
    </row>
    <row r="157" spans="1:72" x14ac:dyDescent="0.15">
      <c r="A157" t="s">
        <v>147</v>
      </c>
      <c r="B157" t="s">
        <v>2443</v>
      </c>
      <c r="C157" t="s">
        <v>74</v>
      </c>
      <c r="D157" t="s">
        <v>2416</v>
      </c>
      <c r="E157" t="s">
        <v>74</v>
      </c>
      <c r="F157" t="s">
        <v>2443</v>
      </c>
      <c r="G157" t="s">
        <v>74</v>
      </c>
      <c r="H157" t="s">
        <v>74</v>
      </c>
      <c r="I157" t="s">
        <v>2444</v>
      </c>
      <c r="J157" t="s">
        <v>2418</v>
      </c>
      <c r="K157" t="s">
        <v>74</v>
      </c>
      <c r="L157" t="s">
        <v>74</v>
      </c>
      <c r="M157" t="s">
        <v>77</v>
      </c>
      <c r="N157" t="s">
        <v>153</v>
      </c>
      <c r="O157" t="s">
        <v>2419</v>
      </c>
      <c r="P157" t="s">
        <v>2420</v>
      </c>
      <c r="Q157" t="s">
        <v>2421</v>
      </c>
      <c r="R157" t="s">
        <v>74</v>
      </c>
      <c r="S157" t="s">
        <v>74</v>
      </c>
      <c r="T157" t="s">
        <v>74</v>
      </c>
      <c r="U157" t="s">
        <v>2445</v>
      </c>
      <c r="V157" t="s">
        <v>2446</v>
      </c>
      <c r="W157" t="s">
        <v>2447</v>
      </c>
      <c r="X157" t="s">
        <v>2448</v>
      </c>
      <c r="Y157" t="s">
        <v>2449</v>
      </c>
      <c r="Z157" t="s">
        <v>74</v>
      </c>
      <c r="AA157" t="s">
        <v>2450</v>
      </c>
      <c r="AB157" t="s">
        <v>74</v>
      </c>
      <c r="AC157" t="s">
        <v>74</v>
      </c>
      <c r="AD157" t="s">
        <v>74</v>
      </c>
      <c r="AE157" t="s">
        <v>74</v>
      </c>
      <c r="AF157" t="s">
        <v>74</v>
      </c>
      <c r="AG157">
        <v>20</v>
      </c>
      <c r="AH157">
        <v>0</v>
      </c>
      <c r="AI157">
        <v>0</v>
      </c>
      <c r="AJ157">
        <v>0</v>
      </c>
      <c r="AK157">
        <v>0</v>
      </c>
      <c r="AL157" t="s">
        <v>2427</v>
      </c>
      <c r="AM157" t="s">
        <v>2428</v>
      </c>
      <c r="AN157" t="s">
        <v>2429</v>
      </c>
      <c r="AO157" t="s">
        <v>74</v>
      </c>
      <c r="AP157" t="s">
        <v>74</v>
      </c>
      <c r="AQ157" t="s">
        <v>2430</v>
      </c>
      <c r="AR157" t="s">
        <v>74</v>
      </c>
      <c r="AS157" t="s">
        <v>74</v>
      </c>
      <c r="AT157" t="s">
        <v>74</v>
      </c>
      <c r="AU157">
        <v>1999</v>
      </c>
      <c r="AV157" t="s">
        <v>74</v>
      </c>
      <c r="AW157" t="s">
        <v>74</v>
      </c>
      <c r="AX157" t="s">
        <v>74</v>
      </c>
      <c r="AY157" t="s">
        <v>74</v>
      </c>
      <c r="AZ157" t="s">
        <v>74</v>
      </c>
      <c r="BA157" t="s">
        <v>74</v>
      </c>
      <c r="BB157">
        <v>51</v>
      </c>
      <c r="BC157">
        <v>65</v>
      </c>
      <c r="BD157" t="s">
        <v>74</v>
      </c>
      <c r="BE157" t="s">
        <v>74</v>
      </c>
      <c r="BF157" t="s">
        <v>74</v>
      </c>
      <c r="BG157" t="s">
        <v>74</v>
      </c>
      <c r="BH157" t="s">
        <v>74</v>
      </c>
      <c r="BI157">
        <v>15</v>
      </c>
      <c r="BJ157" t="s">
        <v>451</v>
      </c>
      <c r="BK157" t="s">
        <v>171</v>
      </c>
      <c r="BL157" t="s">
        <v>451</v>
      </c>
      <c r="BM157" t="s">
        <v>2431</v>
      </c>
      <c r="BN157" t="s">
        <v>74</v>
      </c>
      <c r="BO157" t="s">
        <v>74</v>
      </c>
      <c r="BP157" t="s">
        <v>74</v>
      </c>
      <c r="BQ157" t="s">
        <v>74</v>
      </c>
      <c r="BR157" t="s">
        <v>98</v>
      </c>
      <c r="BS157" t="s">
        <v>2451</v>
      </c>
      <c r="BT157" t="str">
        <f>HYPERLINK("https%3A%2F%2Fwww.webofscience.com%2Fwos%2Fwoscc%2Ffull-record%2FWOS:000085615900004","View Full Record in Web of Science")</f>
        <v>View Full Record in Web of Science</v>
      </c>
    </row>
    <row r="158" spans="1:72" x14ac:dyDescent="0.15">
      <c r="A158" t="s">
        <v>147</v>
      </c>
      <c r="B158" t="s">
        <v>2452</v>
      </c>
      <c r="C158" t="s">
        <v>74</v>
      </c>
      <c r="D158" t="s">
        <v>2416</v>
      </c>
      <c r="E158" t="s">
        <v>74</v>
      </c>
      <c r="F158" t="s">
        <v>2452</v>
      </c>
      <c r="G158" t="s">
        <v>74</v>
      </c>
      <c r="H158" t="s">
        <v>74</v>
      </c>
      <c r="I158" t="s">
        <v>2453</v>
      </c>
      <c r="J158" t="s">
        <v>2418</v>
      </c>
      <c r="K158" t="s">
        <v>74</v>
      </c>
      <c r="L158" t="s">
        <v>74</v>
      </c>
      <c r="M158" t="s">
        <v>77</v>
      </c>
      <c r="N158" t="s">
        <v>153</v>
      </c>
      <c r="O158" t="s">
        <v>2419</v>
      </c>
      <c r="P158" t="s">
        <v>2420</v>
      </c>
      <c r="Q158" t="s">
        <v>2421</v>
      </c>
      <c r="R158" t="s">
        <v>74</v>
      </c>
      <c r="S158" t="s">
        <v>74</v>
      </c>
      <c r="T158" t="s">
        <v>74</v>
      </c>
      <c r="U158" t="s">
        <v>2454</v>
      </c>
      <c r="V158" t="s">
        <v>2455</v>
      </c>
      <c r="W158" t="s">
        <v>2456</v>
      </c>
      <c r="X158" t="s">
        <v>2448</v>
      </c>
      <c r="Y158" t="s">
        <v>2457</v>
      </c>
      <c r="Z158" t="s">
        <v>74</v>
      </c>
      <c r="AA158" t="s">
        <v>74</v>
      </c>
      <c r="AB158" t="s">
        <v>74</v>
      </c>
      <c r="AC158" t="s">
        <v>74</v>
      </c>
      <c r="AD158" t="s">
        <v>74</v>
      </c>
      <c r="AE158" t="s">
        <v>74</v>
      </c>
      <c r="AF158" t="s">
        <v>74</v>
      </c>
      <c r="AG158">
        <v>4</v>
      </c>
      <c r="AH158">
        <v>14</v>
      </c>
      <c r="AI158">
        <v>14</v>
      </c>
      <c r="AJ158">
        <v>0</v>
      </c>
      <c r="AK158">
        <v>1</v>
      </c>
      <c r="AL158" t="s">
        <v>2427</v>
      </c>
      <c r="AM158" t="s">
        <v>2428</v>
      </c>
      <c r="AN158" t="s">
        <v>2429</v>
      </c>
      <c r="AO158" t="s">
        <v>74</v>
      </c>
      <c r="AP158" t="s">
        <v>74</v>
      </c>
      <c r="AQ158" t="s">
        <v>2430</v>
      </c>
      <c r="AR158" t="s">
        <v>74</v>
      </c>
      <c r="AS158" t="s">
        <v>74</v>
      </c>
      <c r="AT158" t="s">
        <v>74</v>
      </c>
      <c r="AU158">
        <v>1999</v>
      </c>
      <c r="AV158" t="s">
        <v>74</v>
      </c>
      <c r="AW158" t="s">
        <v>74</v>
      </c>
      <c r="AX158" t="s">
        <v>74</v>
      </c>
      <c r="AY158" t="s">
        <v>74</v>
      </c>
      <c r="AZ158" t="s">
        <v>74</v>
      </c>
      <c r="BA158" t="s">
        <v>74</v>
      </c>
      <c r="BB158">
        <v>67</v>
      </c>
      <c r="BC158">
        <v>75</v>
      </c>
      <c r="BD158" t="s">
        <v>74</v>
      </c>
      <c r="BE158" t="s">
        <v>74</v>
      </c>
      <c r="BF158" t="s">
        <v>74</v>
      </c>
      <c r="BG158" t="s">
        <v>74</v>
      </c>
      <c r="BH158" t="s">
        <v>74</v>
      </c>
      <c r="BI158">
        <v>9</v>
      </c>
      <c r="BJ158" t="s">
        <v>451</v>
      </c>
      <c r="BK158" t="s">
        <v>171</v>
      </c>
      <c r="BL158" t="s">
        <v>451</v>
      </c>
      <c r="BM158" t="s">
        <v>2431</v>
      </c>
      <c r="BN158" t="s">
        <v>74</v>
      </c>
      <c r="BO158" t="s">
        <v>74</v>
      </c>
      <c r="BP158" t="s">
        <v>74</v>
      </c>
      <c r="BQ158" t="s">
        <v>74</v>
      </c>
      <c r="BR158" t="s">
        <v>98</v>
      </c>
      <c r="BS158" t="s">
        <v>2458</v>
      </c>
      <c r="BT158" t="str">
        <f>HYPERLINK("https%3A%2F%2Fwww.webofscience.com%2Fwos%2Fwoscc%2Ffull-record%2FWOS:000085615900005","View Full Record in Web of Science")</f>
        <v>View Full Record in Web of Science</v>
      </c>
    </row>
    <row r="159" spans="1:72" x14ac:dyDescent="0.15">
      <c r="A159" t="s">
        <v>147</v>
      </c>
      <c r="B159" t="s">
        <v>2459</v>
      </c>
      <c r="C159" t="s">
        <v>74</v>
      </c>
      <c r="D159" t="s">
        <v>2416</v>
      </c>
      <c r="E159" t="s">
        <v>74</v>
      </c>
      <c r="F159" t="s">
        <v>2459</v>
      </c>
      <c r="G159" t="s">
        <v>74</v>
      </c>
      <c r="H159" t="s">
        <v>74</v>
      </c>
      <c r="I159" t="s">
        <v>2460</v>
      </c>
      <c r="J159" t="s">
        <v>2418</v>
      </c>
      <c r="K159" t="s">
        <v>74</v>
      </c>
      <c r="L159" t="s">
        <v>74</v>
      </c>
      <c r="M159" t="s">
        <v>77</v>
      </c>
      <c r="N159" t="s">
        <v>153</v>
      </c>
      <c r="O159" t="s">
        <v>2419</v>
      </c>
      <c r="P159" t="s">
        <v>2420</v>
      </c>
      <c r="Q159" t="s">
        <v>2421</v>
      </c>
      <c r="R159" t="s">
        <v>74</v>
      </c>
      <c r="S159" t="s">
        <v>74</v>
      </c>
      <c r="T159" t="s">
        <v>74</v>
      </c>
      <c r="U159" t="s">
        <v>2461</v>
      </c>
      <c r="V159" t="s">
        <v>2462</v>
      </c>
      <c r="W159" t="s">
        <v>2463</v>
      </c>
      <c r="X159" t="s">
        <v>1142</v>
      </c>
      <c r="Y159" t="s">
        <v>2464</v>
      </c>
      <c r="Z159" t="s">
        <v>74</v>
      </c>
      <c r="AA159" t="s">
        <v>74</v>
      </c>
      <c r="AB159" t="s">
        <v>74</v>
      </c>
      <c r="AC159" t="s">
        <v>74</v>
      </c>
      <c r="AD159" t="s">
        <v>74</v>
      </c>
      <c r="AE159" t="s">
        <v>74</v>
      </c>
      <c r="AF159" t="s">
        <v>74</v>
      </c>
      <c r="AG159">
        <v>32</v>
      </c>
      <c r="AH159">
        <v>33</v>
      </c>
      <c r="AI159">
        <v>38</v>
      </c>
      <c r="AJ159">
        <v>1</v>
      </c>
      <c r="AK159">
        <v>12</v>
      </c>
      <c r="AL159" t="s">
        <v>2427</v>
      </c>
      <c r="AM159" t="s">
        <v>2428</v>
      </c>
      <c r="AN159" t="s">
        <v>2429</v>
      </c>
      <c r="AO159" t="s">
        <v>74</v>
      </c>
      <c r="AP159" t="s">
        <v>74</v>
      </c>
      <c r="AQ159" t="s">
        <v>2430</v>
      </c>
      <c r="AR159" t="s">
        <v>74</v>
      </c>
      <c r="AS159" t="s">
        <v>74</v>
      </c>
      <c r="AT159" t="s">
        <v>74</v>
      </c>
      <c r="AU159">
        <v>1999</v>
      </c>
      <c r="AV159" t="s">
        <v>74</v>
      </c>
      <c r="AW159" t="s">
        <v>74</v>
      </c>
      <c r="AX159" t="s">
        <v>74</v>
      </c>
      <c r="AY159" t="s">
        <v>74</v>
      </c>
      <c r="AZ159" t="s">
        <v>74</v>
      </c>
      <c r="BA159" t="s">
        <v>74</v>
      </c>
      <c r="BB159">
        <v>77</v>
      </c>
      <c r="BC159">
        <v>100</v>
      </c>
      <c r="BD159" t="s">
        <v>74</v>
      </c>
      <c r="BE159" t="s">
        <v>74</v>
      </c>
      <c r="BF159" t="s">
        <v>74</v>
      </c>
      <c r="BG159" t="s">
        <v>74</v>
      </c>
      <c r="BH159" t="s">
        <v>74</v>
      </c>
      <c r="BI159">
        <v>24</v>
      </c>
      <c r="BJ159" t="s">
        <v>451</v>
      </c>
      <c r="BK159" t="s">
        <v>171</v>
      </c>
      <c r="BL159" t="s">
        <v>451</v>
      </c>
      <c r="BM159" t="s">
        <v>2431</v>
      </c>
      <c r="BN159" t="s">
        <v>74</v>
      </c>
      <c r="BO159" t="s">
        <v>74</v>
      </c>
      <c r="BP159" t="s">
        <v>74</v>
      </c>
      <c r="BQ159" t="s">
        <v>74</v>
      </c>
      <c r="BR159" t="s">
        <v>98</v>
      </c>
      <c r="BS159" t="s">
        <v>2465</v>
      </c>
      <c r="BT159" t="str">
        <f>HYPERLINK("https%3A%2F%2Fwww.webofscience.com%2Fwos%2Fwoscc%2Ffull-record%2FWOS:000085615900006","View Full Record in Web of Science")</f>
        <v>View Full Record in Web of Science</v>
      </c>
    </row>
    <row r="160" spans="1:72" x14ac:dyDescent="0.15">
      <c r="A160" t="s">
        <v>147</v>
      </c>
      <c r="B160" t="s">
        <v>2466</v>
      </c>
      <c r="C160" t="s">
        <v>74</v>
      </c>
      <c r="D160" t="s">
        <v>2416</v>
      </c>
      <c r="E160" t="s">
        <v>74</v>
      </c>
      <c r="F160" t="s">
        <v>2466</v>
      </c>
      <c r="G160" t="s">
        <v>74</v>
      </c>
      <c r="H160" t="s">
        <v>74</v>
      </c>
      <c r="I160" t="s">
        <v>2467</v>
      </c>
      <c r="J160" t="s">
        <v>2418</v>
      </c>
      <c r="K160" t="s">
        <v>74</v>
      </c>
      <c r="L160" t="s">
        <v>74</v>
      </c>
      <c r="M160" t="s">
        <v>77</v>
      </c>
      <c r="N160" t="s">
        <v>153</v>
      </c>
      <c r="O160" t="s">
        <v>2419</v>
      </c>
      <c r="P160" t="s">
        <v>2420</v>
      </c>
      <c r="Q160" t="s">
        <v>2421</v>
      </c>
      <c r="R160" t="s">
        <v>74</v>
      </c>
      <c r="S160" t="s">
        <v>74</v>
      </c>
      <c r="T160" t="s">
        <v>74</v>
      </c>
      <c r="U160" t="s">
        <v>1507</v>
      </c>
      <c r="V160" t="s">
        <v>2468</v>
      </c>
      <c r="W160" t="s">
        <v>2469</v>
      </c>
      <c r="X160" t="s">
        <v>761</v>
      </c>
      <c r="Y160" t="s">
        <v>2470</v>
      </c>
      <c r="Z160" t="s">
        <v>74</v>
      </c>
      <c r="AA160" t="s">
        <v>2471</v>
      </c>
      <c r="AB160" t="s">
        <v>74</v>
      </c>
      <c r="AC160" t="s">
        <v>74</v>
      </c>
      <c r="AD160" t="s">
        <v>74</v>
      </c>
      <c r="AE160" t="s">
        <v>74</v>
      </c>
      <c r="AF160" t="s">
        <v>74</v>
      </c>
      <c r="AG160">
        <v>14</v>
      </c>
      <c r="AH160">
        <v>19</v>
      </c>
      <c r="AI160">
        <v>24</v>
      </c>
      <c r="AJ160">
        <v>0</v>
      </c>
      <c r="AK160">
        <v>3</v>
      </c>
      <c r="AL160" t="s">
        <v>2427</v>
      </c>
      <c r="AM160" t="s">
        <v>2428</v>
      </c>
      <c r="AN160" t="s">
        <v>2429</v>
      </c>
      <c r="AO160" t="s">
        <v>74</v>
      </c>
      <c r="AP160" t="s">
        <v>74</v>
      </c>
      <c r="AQ160" t="s">
        <v>2430</v>
      </c>
      <c r="AR160" t="s">
        <v>74</v>
      </c>
      <c r="AS160" t="s">
        <v>74</v>
      </c>
      <c r="AT160" t="s">
        <v>74</v>
      </c>
      <c r="AU160">
        <v>1999</v>
      </c>
      <c r="AV160" t="s">
        <v>74</v>
      </c>
      <c r="AW160" t="s">
        <v>74</v>
      </c>
      <c r="AX160" t="s">
        <v>74</v>
      </c>
      <c r="AY160" t="s">
        <v>74</v>
      </c>
      <c r="AZ160" t="s">
        <v>74</v>
      </c>
      <c r="BA160" t="s">
        <v>74</v>
      </c>
      <c r="BB160">
        <v>103</v>
      </c>
      <c r="BC160">
        <v>117</v>
      </c>
      <c r="BD160" t="s">
        <v>74</v>
      </c>
      <c r="BE160" t="s">
        <v>74</v>
      </c>
      <c r="BF160" t="s">
        <v>74</v>
      </c>
      <c r="BG160" t="s">
        <v>74</v>
      </c>
      <c r="BH160" t="s">
        <v>74</v>
      </c>
      <c r="BI160">
        <v>15</v>
      </c>
      <c r="BJ160" t="s">
        <v>451</v>
      </c>
      <c r="BK160" t="s">
        <v>171</v>
      </c>
      <c r="BL160" t="s">
        <v>451</v>
      </c>
      <c r="BM160" t="s">
        <v>2431</v>
      </c>
      <c r="BN160" t="s">
        <v>74</v>
      </c>
      <c r="BO160" t="s">
        <v>74</v>
      </c>
      <c r="BP160" t="s">
        <v>74</v>
      </c>
      <c r="BQ160" t="s">
        <v>74</v>
      </c>
      <c r="BR160" t="s">
        <v>98</v>
      </c>
      <c r="BS160" t="s">
        <v>2472</v>
      </c>
      <c r="BT160" t="str">
        <f>HYPERLINK("https%3A%2F%2Fwww.webofscience.com%2Fwos%2Fwoscc%2Ffull-record%2FWOS:000085615900007","View Full Record in Web of Science")</f>
        <v>View Full Record in Web of Science</v>
      </c>
    </row>
    <row r="161" spans="1:72" x14ac:dyDescent="0.15">
      <c r="A161" t="s">
        <v>147</v>
      </c>
      <c r="B161" t="s">
        <v>2473</v>
      </c>
      <c r="C161" t="s">
        <v>74</v>
      </c>
      <c r="D161" t="s">
        <v>2416</v>
      </c>
      <c r="E161" t="s">
        <v>74</v>
      </c>
      <c r="F161" t="s">
        <v>2473</v>
      </c>
      <c r="G161" t="s">
        <v>74</v>
      </c>
      <c r="H161" t="s">
        <v>74</v>
      </c>
      <c r="I161" t="s">
        <v>2474</v>
      </c>
      <c r="J161" t="s">
        <v>2418</v>
      </c>
      <c r="K161" t="s">
        <v>74</v>
      </c>
      <c r="L161" t="s">
        <v>74</v>
      </c>
      <c r="M161" t="s">
        <v>77</v>
      </c>
      <c r="N161" t="s">
        <v>153</v>
      </c>
      <c r="O161" t="s">
        <v>2419</v>
      </c>
      <c r="P161" t="s">
        <v>2420</v>
      </c>
      <c r="Q161" t="s">
        <v>2421</v>
      </c>
      <c r="R161" t="s">
        <v>74</v>
      </c>
      <c r="S161" t="s">
        <v>74</v>
      </c>
      <c r="T161" t="s">
        <v>74</v>
      </c>
      <c r="U161" t="s">
        <v>2475</v>
      </c>
      <c r="V161" t="s">
        <v>2476</v>
      </c>
      <c r="W161" t="s">
        <v>2477</v>
      </c>
      <c r="X161" t="s">
        <v>2448</v>
      </c>
      <c r="Y161" t="s">
        <v>2478</v>
      </c>
      <c r="Z161" t="s">
        <v>74</v>
      </c>
      <c r="AA161" t="s">
        <v>2479</v>
      </c>
      <c r="AB161" t="s">
        <v>74</v>
      </c>
      <c r="AC161" t="s">
        <v>74</v>
      </c>
      <c r="AD161" t="s">
        <v>74</v>
      </c>
      <c r="AE161" t="s">
        <v>74</v>
      </c>
      <c r="AF161" t="s">
        <v>74</v>
      </c>
      <c r="AG161">
        <v>6</v>
      </c>
      <c r="AH161">
        <v>7</v>
      </c>
      <c r="AI161">
        <v>7</v>
      </c>
      <c r="AJ161">
        <v>0</v>
      </c>
      <c r="AK161">
        <v>2</v>
      </c>
      <c r="AL161" t="s">
        <v>2427</v>
      </c>
      <c r="AM161" t="s">
        <v>2428</v>
      </c>
      <c r="AN161" t="s">
        <v>2429</v>
      </c>
      <c r="AO161" t="s">
        <v>74</v>
      </c>
      <c r="AP161" t="s">
        <v>74</v>
      </c>
      <c r="AQ161" t="s">
        <v>2430</v>
      </c>
      <c r="AR161" t="s">
        <v>74</v>
      </c>
      <c r="AS161" t="s">
        <v>74</v>
      </c>
      <c r="AT161" t="s">
        <v>74</v>
      </c>
      <c r="AU161">
        <v>1999</v>
      </c>
      <c r="AV161" t="s">
        <v>74</v>
      </c>
      <c r="AW161" t="s">
        <v>74</v>
      </c>
      <c r="AX161" t="s">
        <v>74</v>
      </c>
      <c r="AY161" t="s">
        <v>74</v>
      </c>
      <c r="AZ161" t="s">
        <v>74</v>
      </c>
      <c r="BA161" t="s">
        <v>74</v>
      </c>
      <c r="BB161">
        <v>119</v>
      </c>
      <c r="BC161">
        <v>134</v>
      </c>
      <c r="BD161" t="s">
        <v>74</v>
      </c>
      <c r="BE161" t="s">
        <v>74</v>
      </c>
      <c r="BF161" t="s">
        <v>74</v>
      </c>
      <c r="BG161" t="s">
        <v>74</v>
      </c>
      <c r="BH161" t="s">
        <v>74</v>
      </c>
      <c r="BI161">
        <v>16</v>
      </c>
      <c r="BJ161" t="s">
        <v>451</v>
      </c>
      <c r="BK161" t="s">
        <v>171</v>
      </c>
      <c r="BL161" t="s">
        <v>451</v>
      </c>
      <c r="BM161" t="s">
        <v>2431</v>
      </c>
      <c r="BN161" t="s">
        <v>74</v>
      </c>
      <c r="BO161" t="s">
        <v>74</v>
      </c>
      <c r="BP161" t="s">
        <v>74</v>
      </c>
      <c r="BQ161" t="s">
        <v>74</v>
      </c>
      <c r="BR161" t="s">
        <v>98</v>
      </c>
      <c r="BS161" t="s">
        <v>2480</v>
      </c>
      <c r="BT161" t="str">
        <f>HYPERLINK("https%3A%2F%2Fwww.webofscience.com%2Fwos%2Fwoscc%2Ffull-record%2FWOS:000085615900008","View Full Record in Web of Science")</f>
        <v>View Full Record in Web of Science</v>
      </c>
    </row>
    <row r="162" spans="1:72" x14ac:dyDescent="0.15">
      <c r="A162" t="s">
        <v>147</v>
      </c>
      <c r="B162" t="s">
        <v>2481</v>
      </c>
      <c r="C162" t="s">
        <v>74</v>
      </c>
      <c r="D162" t="s">
        <v>2416</v>
      </c>
      <c r="E162" t="s">
        <v>74</v>
      </c>
      <c r="F162" t="s">
        <v>2481</v>
      </c>
      <c r="G162" t="s">
        <v>74</v>
      </c>
      <c r="H162" t="s">
        <v>74</v>
      </c>
      <c r="I162" t="s">
        <v>2482</v>
      </c>
      <c r="J162" t="s">
        <v>2418</v>
      </c>
      <c r="K162" t="s">
        <v>74</v>
      </c>
      <c r="L162" t="s">
        <v>74</v>
      </c>
      <c r="M162" t="s">
        <v>77</v>
      </c>
      <c r="N162" t="s">
        <v>153</v>
      </c>
      <c r="O162" t="s">
        <v>2419</v>
      </c>
      <c r="P162" t="s">
        <v>2420</v>
      </c>
      <c r="Q162" t="s">
        <v>2421</v>
      </c>
      <c r="R162" t="s">
        <v>74</v>
      </c>
      <c r="S162" t="s">
        <v>74</v>
      </c>
      <c r="T162" t="s">
        <v>74</v>
      </c>
      <c r="U162" t="s">
        <v>74</v>
      </c>
      <c r="V162" t="s">
        <v>2483</v>
      </c>
      <c r="W162" t="s">
        <v>2484</v>
      </c>
      <c r="X162" t="s">
        <v>2438</v>
      </c>
      <c r="Y162" t="s">
        <v>2485</v>
      </c>
      <c r="Z162" t="s">
        <v>74</v>
      </c>
      <c r="AA162" t="s">
        <v>74</v>
      </c>
      <c r="AB162" t="s">
        <v>74</v>
      </c>
      <c r="AC162" t="s">
        <v>74</v>
      </c>
      <c r="AD162" t="s">
        <v>74</v>
      </c>
      <c r="AE162" t="s">
        <v>74</v>
      </c>
      <c r="AF162" t="s">
        <v>74</v>
      </c>
      <c r="AG162">
        <v>13</v>
      </c>
      <c r="AH162">
        <v>8</v>
      </c>
      <c r="AI162">
        <v>9</v>
      </c>
      <c r="AJ162">
        <v>0</v>
      </c>
      <c r="AK162">
        <v>5</v>
      </c>
      <c r="AL162" t="s">
        <v>2427</v>
      </c>
      <c r="AM162" t="s">
        <v>2428</v>
      </c>
      <c r="AN162" t="s">
        <v>2429</v>
      </c>
      <c r="AO162" t="s">
        <v>74</v>
      </c>
      <c r="AP162" t="s">
        <v>74</v>
      </c>
      <c r="AQ162" t="s">
        <v>2430</v>
      </c>
      <c r="AR162" t="s">
        <v>74</v>
      </c>
      <c r="AS162" t="s">
        <v>74</v>
      </c>
      <c r="AT162" t="s">
        <v>74</v>
      </c>
      <c r="AU162">
        <v>1999</v>
      </c>
      <c r="AV162" t="s">
        <v>74</v>
      </c>
      <c r="AW162" t="s">
        <v>74</v>
      </c>
      <c r="AX162" t="s">
        <v>74</v>
      </c>
      <c r="AY162" t="s">
        <v>74</v>
      </c>
      <c r="AZ162" t="s">
        <v>74</v>
      </c>
      <c r="BA162" t="s">
        <v>74</v>
      </c>
      <c r="BB162">
        <v>135</v>
      </c>
      <c r="BC162">
        <v>144</v>
      </c>
      <c r="BD162" t="s">
        <v>74</v>
      </c>
      <c r="BE162" t="s">
        <v>74</v>
      </c>
      <c r="BF162" t="s">
        <v>74</v>
      </c>
      <c r="BG162" t="s">
        <v>74</v>
      </c>
      <c r="BH162" t="s">
        <v>74</v>
      </c>
      <c r="BI162">
        <v>10</v>
      </c>
      <c r="BJ162" t="s">
        <v>451</v>
      </c>
      <c r="BK162" t="s">
        <v>171</v>
      </c>
      <c r="BL162" t="s">
        <v>451</v>
      </c>
      <c r="BM162" t="s">
        <v>2431</v>
      </c>
      <c r="BN162" t="s">
        <v>74</v>
      </c>
      <c r="BO162" t="s">
        <v>74</v>
      </c>
      <c r="BP162" t="s">
        <v>74</v>
      </c>
      <c r="BQ162" t="s">
        <v>74</v>
      </c>
      <c r="BR162" t="s">
        <v>98</v>
      </c>
      <c r="BS162" t="s">
        <v>2486</v>
      </c>
      <c r="BT162" t="str">
        <f>HYPERLINK("https%3A%2F%2Fwww.webofscience.com%2Fwos%2Fwoscc%2Ffull-record%2FWOS:000085615900009","View Full Record in Web of Science")</f>
        <v>View Full Record in Web of Science</v>
      </c>
    </row>
    <row r="163" spans="1:72" x14ac:dyDescent="0.15">
      <c r="A163" t="s">
        <v>147</v>
      </c>
      <c r="B163" t="s">
        <v>2487</v>
      </c>
      <c r="C163" t="s">
        <v>74</v>
      </c>
      <c r="D163" t="s">
        <v>2416</v>
      </c>
      <c r="E163" t="s">
        <v>74</v>
      </c>
      <c r="F163" t="s">
        <v>2487</v>
      </c>
      <c r="G163" t="s">
        <v>74</v>
      </c>
      <c r="H163" t="s">
        <v>74</v>
      </c>
      <c r="I163" t="s">
        <v>2488</v>
      </c>
      <c r="J163" t="s">
        <v>2418</v>
      </c>
      <c r="K163" t="s">
        <v>74</v>
      </c>
      <c r="L163" t="s">
        <v>74</v>
      </c>
      <c r="M163" t="s">
        <v>77</v>
      </c>
      <c r="N163" t="s">
        <v>153</v>
      </c>
      <c r="O163" t="s">
        <v>2419</v>
      </c>
      <c r="P163" t="s">
        <v>2420</v>
      </c>
      <c r="Q163" t="s">
        <v>2421</v>
      </c>
      <c r="R163" t="s">
        <v>74</v>
      </c>
      <c r="S163" t="s">
        <v>74</v>
      </c>
      <c r="T163" t="s">
        <v>74</v>
      </c>
      <c r="U163" t="s">
        <v>2489</v>
      </c>
      <c r="V163" t="s">
        <v>2490</v>
      </c>
      <c r="W163" t="s">
        <v>2491</v>
      </c>
      <c r="X163" t="s">
        <v>2492</v>
      </c>
      <c r="Y163" t="s">
        <v>2493</v>
      </c>
      <c r="Z163" t="s">
        <v>74</v>
      </c>
      <c r="AA163" t="s">
        <v>2494</v>
      </c>
      <c r="AB163" t="s">
        <v>2495</v>
      </c>
      <c r="AC163" t="s">
        <v>74</v>
      </c>
      <c r="AD163" t="s">
        <v>74</v>
      </c>
      <c r="AE163" t="s">
        <v>74</v>
      </c>
      <c r="AF163" t="s">
        <v>74</v>
      </c>
      <c r="AG163">
        <v>15</v>
      </c>
      <c r="AH163">
        <v>6</v>
      </c>
      <c r="AI163">
        <v>6</v>
      </c>
      <c r="AJ163">
        <v>0</v>
      </c>
      <c r="AK163">
        <v>0</v>
      </c>
      <c r="AL163" t="s">
        <v>2427</v>
      </c>
      <c r="AM163" t="s">
        <v>2428</v>
      </c>
      <c r="AN163" t="s">
        <v>2429</v>
      </c>
      <c r="AO163" t="s">
        <v>74</v>
      </c>
      <c r="AP163" t="s">
        <v>74</v>
      </c>
      <c r="AQ163" t="s">
        <v>2430</v>
      </c>
      <c r="AR163" t="s">
        <v>74</v>
      </c>
      <c r="AS163" t="s">
        <v>74</v>
      </c>
      <c r="AT163" t="s">
        <v>74</v>
      </c>
      <c r="AU163">
        <v>1999</v>
      </c>
      <c r="AV163" t="s">
        <v>74</v>
      </c>
      <c r="AW163" t="s">
        <v>74</v>
      </c>
      <c r="AX163" t="s">
        <v>74</v>
      </c>
      <c r="AY163" t="s">
        <v>74</v>
      </c>
      <c r="AZ163" t="s">
        <v>74</v>
      </c>
      <c r="BA163" t="s">
        <v>74</v>
      </c>
      <c r="BB163">
        <v>197</v>
      </c>
      <c r="BC163">
        <v>207</v>
      </c>
      <c r="BD163" t="s">
        <v>74</v>
      </c>
      <c r="BE163" t="s">
        <v>74</v>
      </c>
      <c r="BF163" t="s">
        <v>74</v>
      </c>
      <c r="BG163" t="s">
        <v>74</v>
      </c>
      <c r="BH163" t="s">
        <v>74</v>
      </c>
      <c r="BI163">
        <v>11</v>
      </c>
      <c r="BJ163" t="s">
        <v>451</v>
      </c>
      <c r="BK163" t="s">
        <v>171</v>
      </c>
      <c r="BL163" t="s">
        <v>451</v>
      </c>
      <c r="BM163" t="s">
        <v>2431</v>
      </c>
      <c r="BN163" t="s">
        <v>74</v>
      </c>
      <c r="BO163" t="s">
        <v>74</v>
      </c>
      <c r="BP163" t="s">
        <v>74</v>
      </c>
      <c r="BQ163" t="s">
        <v>74</v>
      </c>
      <c r="BR163" t="s">
        <v>98</v>
      </c>
      <c r="BS163" t="s">
        <v>2496</v>
      </c>
      <c r="BT163" t="str">
        <f>HYPERLINK("https%3A%2F%2Fwww.webofscience.com%2Fwos%2Fwoscc%2Ffull-record%2FWOS:000085615900013","View Full Record in Web of Science")</f>
        <v>View Full Record in Web of Science</v>
      </c>
    </row>
    <row r="164" spans="1:72" x14ac:dyDescent="0.15">
      <c r="A164" t="s">
        <v>147</v>
      </c>
      <c r="B164" t="s">
        <v>2497</v>
      </c>
      <c r="C164" t="s">
        <v>74</v>
      </c>
      <c r="D164" t="s">
        <v>2416</v>
      </c>
      <c r="E164" t="s">
        <v>74</v>
      </c>
      <c r="F164" t="s">
        <v>2497</v>
      </c>
      <c r="G164" t="s">
        <v>74</v>
      </c>
      <c r="H164" t="s">
        <v>74</v>
      </c>
      <c r="I164" t="s">
        <v>2498</v>
      </c>
      <c r="J164" t="s">
        <v>2418</v>
      </c>
      <c r="K164" t="s">
        <v>74</v>
      </c>
      <c r="L164" t="s">
        <v>74</v>
      </c>
      <c r="M164" t="s">
        <v>77</v>
      </c>
      <c r="N164" t="s">
        <v>153</v>
      </c>
      <c r="O164" t="s">
        <v>2419</v>
      </c>
      <c r="P164" t="s">
        <v>2420</v>
      </c>
      <c r="Q164" t="s">
        <v>2421</v>
      </c>
      <c r="R164" t="s">
        <v>74</v>
      </c>
      <c r="S164" t="s">
        <v>74</v>
      </c>
      <c r="T164" t="s">
        <v>74</v>
      </c>
      <c r="U164" t="s">
        <v>2499</v>
      </c>
      <c r="V164" t="s">
        <v>2500</v>
      </c>
      <c r="W164" t="s">
        <v>2501</v>
      </c>
      <c r="X164" t="s">
        <v>2502</v>
      </c>
      <c r="Y164" t="s">
        <v>2503</v>
      </c>
      <c r="Z164" t="s">
        <v>74</v>
      </c>
      <c r="AA164" t="s">
        <v>2504</v>
      </c>
      <c r="AB164" t="s">
        <v>2505</v>
      </c>
      <c r="AC164" t="s">
        <v>74</v>
      </c>
      <c r="AD164" t="s">
        <v>74</v>
      </c>
      <c r="AE164" t="s">
        <v>74</v>
      </c>
      <c r="AF164" t="s">
        <v>74</v>
      </c>
      <c r="AG164">
        <v>14</v>
      </c>
      <c r="AH164">
        <v>0</v>
      </c>
      <c r="AI164">
        <v>0</v>
      </c>
      <c r="AJ164">
        <v>0</v>
      </c>
      <c r="AK164">
        <v>0</v>
      </c>
      <c r="AL164" t="s">
        <v>2427</v>
      </c>
      <c r="AM164" t="s">
        <v>2428</v>
      </c>
      <c r="AN164" t="s">
        <v>2429</v>
      </c>
      <c r="AO164" t="s">
        <v>74</v>
      </c>
      <c r="AP164" t="s">
        <v>74</v>
      </c>
      <c r="AQ164" t="s">
        <v>2430</v>
      </c>
      <c r="AR164" t="s">
        <v>74</v>
      </c>
      <c r="AS164" t="s">
        <v>74</v>
      </c>
      <c r="AT164" t="s">
        <v>74</v>
      </c>
      <c r="AU164">
        <v>1999</v>
      </c>
      <c r="AV164" t="s">
        <v>74</v>
      </c>
      <c r="AW164" t="s">
        <v>74</v>
      </c>
      <c r="AX164" t="s">
        <v>74</v>
      </c>
      <c r="AY164" t="s">
        <v>74</v>
      </c>
      <c r="AZ164" t="s">
        <v>74</v>
      </c>
      <c r="BA164" t="s">
        <v>74</v>
      </c>
      <c r="BB164">
        <v>249</v>
      </c>
      <c r="BC164">
        <v>264</v>
      </c>
      <c r="BD164" t="s">
        <v>74</v>
      </c>
      <c r="BE164" t="s">
        <v>74</v>
      </c>
      <c r="BF164" t="s">
        <v>74</v>
      </c>
      <c r="BG164" t="s">
        <v>74</v>
      </c>
      <c r="BH164" t="s">
        <v>74</v>
      </c>
      <c r="BI164">
        <v>16</v>
      </c>
      <c r="BJ164" t="s">
        <v>451</v>
      </c>
      <c r="BK164" t="s">
        <v>171</v>
      </c>
      <c r="BL164" t="s">
        <v>451</v>
      </c>
      <c r="BM164" t="s">
        <v>2431</v>
      </c>
      <c r="BN164" t="s">
        <v>74</v>
      </c>
      <c r="BO164" t="s">
        <v>74</v>
      </c>
      <c r="BP164" t="s">
        <v>74</v>
      </c>
      <c r="BQ164" t="s">
        <v>74</v>
      </c>
      <c r="BR164" t="s">
        <v>98</v>
      </c>
      <c r="BS164" t="s">
        <v>2506</v>
      </c>
      <c r="BT164" t="str">
        <f>HYPERLINK("https%3A%2F%2Fwww.webofscience.com%2Fwos%2Fwoscc%2Ffull-record%2FWOS:000085615900017","View Full Record in Web of Science")</f>
        <v>View Full Record in Web of Science</v>
      </c>
    </row>
    <row r="165" spans="1:72" x14ac:dyDescent="0.15">
      <c r="A165" t="s">
        <v>72</v>
      </c>
      <c r="B165" t="s">
        <v>2507</v>
      </c>
      <c r="C165" t="s">
        <v>74</v>
      </c>
      <c r="D165" t="s">
        <v>74</v>
      </c>
      <c r="E165" t="s">
        <v>74</v>
      </c>
      <c r="F165" t="s">
        <v>2507</v>
      </c>
      <c r="G165" t="s">
        <v>74</v>
      </c>
      <c r="H165" t="s">
        <v>74</v>
      </c>
      <c r="I165" t="s">
        <v>2508</v>
      </c>
      <c r="J165" t="s">
        <v>2509</v>
      </c>
      <c r="K165" t="s">
        <v>74</v>
      </c>
      <c r="L165" t="s">
        <v>74</v>
      </c>
      <c r="M165" t="s">
        <v>2510</v>
      </c>
      <c r="N165" t="s">
        <v>103</v>
      </c>
      <c r="O165" t="s">
        <v>74</v>
      </c>
      <c r="P165" t="s">
        <v>74</v>
      </c>
      <c r="Q165" t="s">
        <v>74</v>
      </c>
      <c r="R165" t="s">
        <v>74</v>
      </c>
      <c r="S165" t="s">
        <v>74</v>
      </c>
      <c r="T165" t="s">
        <v>74</v>
      </c>
      <c r="U165" t="s">
        <v>74</v>
      </c>
      <c r="V165" t="s">
        <v>2511</v>
      </c>
      <c r="W165" t="s">
        <v>2512</v>
      </c>
      <c r="X165" t="s">
        <v>2513</v>
      </c>
      <c r="Y165" t="s">
        <v>2514</v>
      </c>
      <c r="Z165" t="s">
        <v>74</v>
      </c>
      <c r="AA165" t="s">
        <v>2515</v>
      </c>
      <c r="AB165" t="s">
        <v>2516</v>
      </c>
      <c r="AC165" t="s">
        <v>74</v>
      </c>
      <c r="AD165" t="s">
        <v>74</v>
      </c>
      <c r="AE165" t="s">
        <v>74</v>
      </c>
      <c r="AF165" t="s">
        <v>74</v>
      </c>
      <c r="AG165">
        <v>8</v>
      </c>
      <c r="AH165">
        <v>9</v>
      </c>
      <c r="AI165">
        <v>10</v>
      </c>
      <c r="AJ165">
        <v>0</v>
      </c>
      <c r="AK165">
        <v>4</v>
      </c>
      <c r="AL165" t="s">
        <v>2517</v>
      </c>
      <c r="AM165" t="s">
        <v>2518</v>
      </c>
      <c r="AN165" t="s">
        <v>2519</v>
      </c>
      <c r="AO165" t="s">
        <v>2520</v>
      </c>
      <c r="AP165" t="s">
        <v>74</v>
      </c>
      <c r="AQ165" t="s">
        <v>74</v>
      </c>
      <c r="AR165" t="s">
        <v>2521</v>
      </c>
      <c r="AS165" t="s">
        <v>2522</v>
      </c>
      <c r="AT165" t="s">
        <v>1002</v>
      </c>
      <c r="AU165">
        <v>1999</v>
      </c>
      <c r="AV165">
        <v>39</v>
      </c>
      <c r="AW165">
        <v>1</v>
      </c>
      <c r="AX165" t="s">
        <v>74</v>
      </c>
      <c r="AY165" t="s">
        <v>74</v>
      </c>
      <c r="AZ165" t="s">
        <v>74</v>
      </c>
      <c r="BA165" t="s">
        <v>74</v>
      </c>
      <c r="BB165">
        <v>5</v>
      </c>
      <c r="BC165">
        <v>15</v>
      </c>
      <c r="BD165" t="s">
        <v>74</v>
      </c>
      <c r="BE165" t="s">
        <v>74</v>
      </c>
      <c r="BF165" t="s">
        <v>74</v>
      </c>
      <c r="BG165" t="s">
        <v>74</v>
      </c>
      <c r="BH165" t="s">
        <v>74</v>
      </c>
      <c r="BI165">
        <v>11</v>
      </c>
      <c r="BJ165" t="s">
        <v>451</v>
      </c>
      <c r="BK165" t="s">
        <v>95</v>
      </c>
      <c r="BL165" t="s">
        <v>451</v>
      </c>
      <c r="BM165" t="s">
        <v>2523</v>
      </c>
      <c r="BN165" t="s">
        <v>74</v>
      </c>
      <c r="BO165" t="s">
        <v>74</v>
      </c>
      <c r="BP165" t="s">
        <v>74</v>
      </c>
      <c r="BQ165" t="s">
        <v>74</v>
      </c>
      <c r="BR165" t="s">
        <v>98</v>
      </c>
      <c r="BS165" t="s">
        <v>2524</v>
      </c>
      <c r="BT165" t="str">
        <f>HYPERLINK("https%3A%2F%2Fwww.webofscience.com%2Fwos%2Fwoscc%2Ffull-record%2FWOS:000079729200001","View Full Record in Web of Science")</f>
        <v>View Full Record in Web of Science</v>
      </c>
    </row>
    <row r="166" spans="1:72" x14ac:dyDescent="0.15">
      <c r="A166" t="s">
        <v>72</v>
      </c>
      <c r="B166" t="s">
        <v>2525</v>
      </c>
      <c r="C166" t="s">
        <v>74</v>
      </c>
      <c r="D166" t="s">
        <v>74</v>
      </c>
      <c r="E166" t="s">
        <v>74</v>
      </c>
      <c r="F166" t="s">
        <v>2525</v>
      </c>
      <c r="G166" t="s">
        <v>74</v>
      </c>
      <c r="H166" t="s">
        <v>74</v>
      </c>
      <c r="I166" t="s">
        <v>2526</v>
      </c>
      <c r="J166" t="s">
        <v>2509</v>
      </c>
      <c r="K166" t="s">
        <v>74</v>
      </c>
      <c r="L166" t="s">
        <v>74</v>
      </c>
      <c r="M166" t="s">
        <v>2510</v>
      </c>
      <c r="N166" t="s">
        <v>103</v>
      </c>
      <c r="O166" t="s">
        <v>74</v>
      </c>
      <c r="P166" t="s">
        <v>74</v>
      </c>
      <c r="Q166" t="s">
        <v>74</v>
      </c>
      <c r="R166" t="s">
        <v>74</v>
      </c>
      <c r="S166" t="s">
        <v>74</v>
      </c>
      <c r="T166" t="s">
        <v>74</v>
      </c>
      <c r="U166" t="s">
        <v>2527</v>
      </c>
      <c r="V166" t="s">
        <v>2528</v>
      </c>
      <c r="W166" t="s">
        <v>2529</v>
      </c>
      <c r="X166" t="s">
        <v>2530</v>
      </c>
      <c r="Y166" t="s">
        <v>2531</v>
      </c>
      <c r="Z166" t="s">
        <v>74</v>
      </c>
      <c r="AA166" t="s">
        <v>74</v>
      </c>
      <c r="AB166" t="s">
        <v>74</v>
      </c>
      <c r="AC166" t="s">
        <v>74</v>
      </c>
      <c r="AD166" t="s">
        <v>74</v>
      </c>
      <c r="AE166" t="s">
        <v>74</v>
      </c>
      <c r="AF166" t="s">
        <v>74</v>
      </c>
      <c r="AG166">
        <v>14</v>
      </c>
      <c r="AH166">
        <v>5</v>
      </c>
      <c r="AI166">
        <v>5</v>
      </c>
      <c r="AJ166">
        <v>2</v>
      </c>
      <c r="AK166">
        <v>3</v>
      </c>
      <c r="AL166" t="s">
        <v>2517</v>
      </c>
      <c r="AM166" t="s">
        <v>2518</v>
      </c>
      <c r="AN166" t="s">
        <v>2519</v>
      </c>
      <c r="AO166" t="s">
        <v>2520</v>
      </c>
      <c r="AP166" t="s">
        <v>74</v>
      </c>
      <c r="AQ166" t="s">
        <v>74</v>
      </c>
      <c r="AR166" t="s">
        <v>2521</v>
      </c>
      <c r="AS166" t="s">
        <v>2522</v>
      </c>
      <c r="AT166" t="s">
        <v>1002</v>
      </c>
      <c r="AU166">
        <v>1999</v>
      </c>
      <c r="AV166">
        <v>39</v>
      </c>
      <c r="AW166">
        <v>1</v>
      </c>
      <c r="AX166" t="s">
        <v>74</v>
      </c>
      <c r="AY166" t="s">
        <v>74</v>
      </c>
      <c r="AZ166" t="s">
        <v>74</v>
      </c>
      <c r="BA166" t="s">
        <v>74</v>
      </c>
      <c r="BB166">
        <v>80</v>
      </c>
      <c r="BC166">
        <v>86</v>
      </c>
      <c r="BD166" t="s">
        <v>74</v>
      </c>
      <c r="BE166" t="s">
        <v>74</v>
      </c>
      <c r="BF166" t="s">
        <v>74</v>
      </c>
      <c r="BG166" t="s">
        <v>74</v>
      </c>
      <c r="BH166" t="s">
        <v>74</v>
      </c>
      <c r="BI166">
        <v>7</v>
      </c>
      <c r="BJ166" t="s">
        <v>451</v>
      </c>
      <c r="BK166" t="s">
        <v>95</v>
      </c>
      <c r="BL166" t="s">
        <v>451</v>
      </c>
      <c r="BM166" t="s">
        <v>2523</v>
      </c>
      <c r="BN166" t="s">
        <v>74</v>
      </c>
      <c r="BO166" t="s">
        <v>74</v>
      </c>
      <c r="BP166" t="s">
        <v>74</v>
      </c>
      <c r="BQ166" t="s">
        <v>74</v>
      </c>
      <c r="BR166" t="s">
        <v>98</v>
      </c>
      <c r="BS166" t="s">
        <v>2532</v>
      </c>
      <c r="BT166" t="str">
        <f>HYPERLINK("https%3A%2F%2Fwww.webofscience.com%2Fwos%2Fwoscc%2Ffull-record%2FWOS:000079729200011","View Full Record in Web of Science")</f>
        <v>View Full Record in Web of Science</v>
      </c>
    </row>
    <row r="167" spans="1:72" x14ac:dyDescent="0.15">
      <c r="A167" t="s">
        <v>147</v>
      </c>
      <c r="B167" t="s">
        <v>2533</v>
      </c>
      <c r="C167" t="s">
        <v>74</v>
      </c>
      <c r="D167" t="s">
        <v>2534</v>
      </c>
      <c r="E167" t="s">
        <v>74</v>
      </c>
      <c r="F167" t="s">
        <v>2533</v>
      </c>
      <c r="G167" t="s">
        <v>74</v>
      </c>
      <c r="H167" t="s">
        <v>74</v>
      </c>
      <c r="I167" t="s">
        <v>2535</v>
      </c>
      <c r="J167" t="s">
        <v>2536</v>
      </c>
      <c r="K167" t="s">
        <v>152</v>
      </c>
      <c r="L167" t="s">
        <v>74</v>
      </c>
      <c r="M167" t="s">
        <v>77</v>
      </c>
      <c r="N167" t="s">
        <v>153</v>
      </c>
      <c r="O167" t="s">
        <v>2537</v>
      </c>
      <c r="P167" t="s">
        <v>2538</v>
      </c>
      <c r="Q167" t="s">
        <v>1162</v>
      </c>
      <c r="R167" t="s">
        <v>74</v>
      </c>
      <c r="S167" t="s">
        <v>74</v>
      </c>
      <c r="T167" t="s">
        <v>2539</v>
      </c>
      <c r="U167" t="s">
        <v>2540</v>
      </c>
      <c r="V167" t="s">
        <v>2541</v>
      </c>
      <c r="W167" t="s">
        <v>2542</v>
      </c>
      <c r="X167" t="s">
        <v>2448</v>
      </c>
      <c r="Y167" t="s">
        <v>2543</v>
      </c>
      <c r="Z167" t="s">
        <v>74</v>
      </c>
      <c r="AA167" t="s">
        <v>2544</v>
      </c>
      <c r="AB167" t="s">
        <v>2545</v>
      </c>
      <c r="AC167" t="s">
        <v>74</v>
      </c>
      <c r="AD167" t="s">
        <v>74</v>
      </c>
      <c r="AE167" t="s">
        <v>74</v>
      </c>
      <c r="AF167" t="s">
        <v>74</v>
      </c>
      <c r="AG167">
        <v>13</v>
      </c>
      <c r="AH167">
        <v>2</v>
      </c>
      <c r="AI167">
        <v>2</v>
      </c>
      <c r="AJ167">
        <v>0</v>
      </c>
      <c r="AK167">
        <v>0</v>
      </c>
      <c r="AL167" t="s">
        <v>163</v>
      </c>
      <c r="AM167" t="s">
        <v>164</v>
      </c>
      <c r="AN167" t="s">
        <v>165</v>
      </c>
      <c r="AO167" t="s">
        <v>166</v>
      </c>
      <c r="AP167" t="s">
        <v>74</v>
      </c>
      <c r="AQ167" t="s">
        <v>2546</v>
      </c>
      <c r="AR167" t="s">
        <v>168</v>
      </c>
      <c r="AS167" t="s">
        <v>74</v>
      </c>
      <c r="AT167" t="s">
        <v>74</v>
      </c>
      <c r="AU167">
        <v>1999</v>
      </c>
      <c r="AV167">
        <v>3756</v>
      </c>
      <c r="AW167" t="s">
        <v>74</v>
      </c>
      <c r="AX167" t="s">
        <v>74</v>
      </c>
      <c r="AY167" t="s">
        <v>74</v>
      </c>
      <c r="AZ167" t="s">
        <v>74</v>
      </c>
      <c r="BA167" t="s">
        <v>74</v>
      </c>
      <c r="BB167">
        <v>544</v>
      </c>
      <c r="BC167">
        <v>554</v>
      </c>
      <c r="BD167" t="s">
        <v>74</v>
      </c>
      <c r="BE167" t="s">
        <v>2547</v>
      </c>
      <c r="BF167" t="str">
        <f>HYPERLINK("http://dx.doi.org/10.1117/12.366415","http://dx.doi.org/10.1117/12.366415")</f>
        <v>http://dx.doi.org/10.1117/12.366415</v>
      </c>
      <c r="BG167" t="s">
        <v>74</v>
      </c>
      <c r="BH167" t="s">
        <v>74</v>
      </c>
      <c r="BI167">
        <v>11</v>
      </c>
      <c r="BJ167" t="s">
        <v>2548</v>
      </c>
      <c r="BK167" t="s">
        <v>171</v>
      </c>
      <c r="BL167" t="s">
        <v>2548</v>
      </c>
      <c r="BM167" t="s">
        <v>2549</v>
      </c>
      <c r="BN167" t="s">
        <v>74</v>
      </c>
      <c r="BO167" t="s">
        <v>74</v>
      </c>
      <c r="BP167" t="s">
        <v>74</v>
      </c>
      <c r="BQ167" t="s">
        <v>74</v>
      </c>
      <c r="BR167" t="s">
        <v>98</v>
      </c>
      <c r="BS167" t="s">
        <v>2550</v>
      </c>
      <c r="BT167" t="str">
        <f>HYPERLINK("https%3A%2F%2Fwww.webofscience.com%2Fwos%2Fwoscc%2Ffull-record%2FWOS:000083736000057","View Full Record in Web of Science")</f>
        <v>View Full Record in Web of Science</v>
      </c>
    </row>
    <row r="168" spans="1:72" x14ac:dyDescent="0.15">
      <c r="A168" t="s">
        <v>72</v>
      </c>
      <c r="B168" t="s">
        <v>2551</v>
      </c>
      <c r="C168" t="s">
        <v>74</v>
      </c>
      <c r="D168" t="s">
        <v>74</v>
      </c>
      <c r="E168" t="s">
        <v>74</v>
      </c>
      <c r="F168" t="s">
        <v>2551</v>
      </c>
      <c r="G168" t="s">
        <v>74</v>
      </c>
      <c r="H168" t="s">
        <v>74</v>
      </c>
      <c r="I168" t="s">
        <v>2552</v>
      </c>
      <c r="J168" t="s">
        <v>2553</v>
      </c>
      <c r="K168" t="s">
        <v>74</v>
      </c>
      <c r="L168" t="s">
        <v>74</v>
      </c>
      <c r="M168" t="s">
        <v>77</v>
      </c>
      <c r="N168" t="s">
        <v>103</v>
      </c>
      <c r="O168" t="s">
        <v>74</v>
      </c>
      <c r="P168" t="s">
        <v>74</v>
      </c>
      <c r="Q168" t="s">
        <v>74</v>
      </c>
      <c r="R168" t="s">
        <v>74</v>
      </c>
      <c r="S168" t="s">
        <v>74</v>
      </c>
      <c r="T168" t="s">
        <v>2554</v>
      </c>
      <c r="U168" t="s">
        <v>2555</v>
      </c>
      <c r="V168" t="s">
        <v>2556</v>
      </c>
      <c r="W168" t="s">
        <v>2557</v>
      </c>
      <c r="X168" t="s">
        <v>2558</v>
      </c>
      <c r="Y168" t="s">
        <v>2559</v>
      </c>
      <c r="Z168" t="s">
        <v>74</v>
      </c>
      <c r="AA168" t="s">
        <v>2560</v>
      </c>
      <c r="AB168" t="s">
        <v>2561</v>
      </c>
      <c r="AC168" t="s">
        <v>74</v>
      </c>
      <c r="AD168" t="s">
        <v>74</v>
      </c>
      <c r="AE168" t="s">
        <v>74</v>
      </c>
      <c r="AF168" t="s">
        <v>74</v>
      </c>
      <c r="AG168">
        <v>20</v>
      </c>
      <c r="AH168">
        <v>62</v>
      </c>
      <c r="AI168">
        <v>70</v>
      </c>
      <c r="AJ168">
        <v>0</v>
      </c>
      <c r="AK168">
        <v>14</v>
      </c>
      <c r="AL168" t="s">
        <v>445</v>
      </c>
      <c r="AM168" t="s">
        <v>229</v>
      </c>
      <c r="AN168" t="s">
        <v>446</v>
      </c>
      <c r="AO168" t="s">
        <v>2562</v>
      </c>
      <c r="AP168" t="s">
        <v>74</v>
      </c>
      <c r="AQ168" t="s">
        <v>74</v>
      </c>
      <c r="AR168" t="s">
        <v>2563</v>
      </c>
      <c r="AS168" t="s">
        <v>2564</v>
      </c>
      <c r="AT168" t="s">
        <v>74</v>
      </c>
      <c r="AU168">
        <v>1999</v>
      </c>
      <c r="AV168">
        <v>30</v>
      </c>
      <c r="AW168">
        <v>11</v>
      </c>
      <c r="AX168" t="s">
        <v>74</v>
      </c>
      <c r="AY168" t="s">
        <v>74</v>
      </c>
      <c r="AZ168" t="s">
        <v>74</v>
      </c>
      <c r="BA168" t="s">
        <v>74</v>
      </c>
      <c r="BB168">
        <v>1471</v>
      </c>
      <c r="BC168">
        <v>1475</v>
      </c>
      <c r="BD168" t="s">
        <v>74</v>
      </c>
      <c r="BE168" t="s">
        <v>2565</v>
      </c>
      <c r="BF168" t="str">
        <f>HYPERLINK("http://dx.doi.org/10.1016/S0146-6380(99)00112-6","http://dx.doi.org/10.1016/S0146-6380(99)00112-6")</f>
        <v>http://dx.doi.org/10.1016/S0146-6380(99)00112-6</v>
      </c>
      <c r="BG168" t="s">
        <v>74</v>
      </c>
      <c r="BH168" t="s">
        <v>74</v>
      </c>
      <c r="BI168">
        <v>5</v>
      </c>
      <c r="BJ168" t="s">
        <v>303</v>
      </c>
      <c r="BK168" t="s">
        <v>95</v>
      </c>
      <c r="BL168" t="s">
        <v>303</v>
      </c>
      <c r="BM168" t="s">
        <v>2566</v>
      </c>
      <c r="BN168" t="s">
        <v>74</v>
      </c>
      <c r="BO168" t="s">
        <v>74</v>
      </c>
      <c r="BP168" t="s">
        <v>74</v>
      </c>
      <c r="BQ168" t="s">
        <v>74</v>
      </c>
      <c r="BR168" t="s">
        <v>98</v>
      </c>
      <c r="BS168" t="s">
        <v>2567</v>
      </c>
      <c r="BT168" t="str">
        <f>HYPERLINK("https%3A%2F%2Fwww.webofscience.com%2Fwos%2Fwoscc%2Ffull-record%2FWOS:000084048900009","View Full Record in Web of Science")</f>
        <v>View Full Record in Web of Science</v>
      </c>
    </row>
    <row r="169" spans="1:72" x14ac:dyDescent="0.15">
      <c r="A169" t="s">
        <v>72</v>
      </c>
      <c r="B169" t="s">
        <v>2568</v>
      </c>
      <c r="C169" t="s">
        <v>74</v>
      </c>
      <c r="D169" t="s">
        <v>74</v>
      </c>
      <c r="E169" t="s">
        <v>74</v>
      </c>
      <c r="F169" t="s">
        <v>2568</v>
      </c>
      <c r="G169" t="s">
        <v>74</v>
      </c>
      <c r="H169" t="s">
        <v>74</v>
      </c>
      <c r="I169" t="s">
        <v>2569</v>
      </c>
      <c r="J169" t="s">
        <v>2570</v>
      </c>
      <c r="K169" t="s">
        <v>74</v>
      </c>
      <c r="L169" t="s">
        <v>74</v>
      </c>
      <c r="M169" t="s">
        <v>77</v>
      </c>
      <c r="N169" t="s">
        <v>103</v>
      </c>
      <c r="O169" t="s">
        <v>74</v>
      </c>
      <c r="P169" t="s">
        <v>74</v>
      </c>
      <c r="Q169" t="s">
        <v>74</v>
      </c>
      <c r="R169" t="s">
        <v>74</v>
      </c>
      <c r="S169" t="s">
        <v>74</v>
      </c>
      <c r="T169" t="s">
        <v>74</v>
      </c>
      <c r="U169" t="s">
        <v>2571</v>
      </c>
      <c r="V169" t="s">
        <v>2572</v>
      </c>
      <c r="W169" t="s">
        <v>2573</v>
      </c>
      <c r="X169" t="s">
        <v>2574</v>
      </c>
      <c r="Y169" t="s">
        <v>2575</v>
      </c>
      <c r="Z169" t="s">
        <v>74</v>
      </c>
      <c r="AA169" t="s">
        <v>2576</v>
      </c>
      <c r="AB169" t="s">
        <v>2577</v>
      </c>
      <c r="AC169" t="s">
        <v>74</v>
      </c>
      <c r="AD169" t="s">
        <v>74</v>
      </c>
      <c r="AE169" t="s">
        <v>74</v>
      </c>
      <c r="AF169" t="s">
        <v>74</v>
      </c>
      <c r="AG169">
        <v>11</v>
      </c>
      <c r="AH169">
        <v>6</v>
      </c>
      <c r="AI169">
        <v>6</v>
      </c>
      <c r="AJ169">
        <v>0</v>
      </c>
      <c r="AK169">
        <v>5</v>
      </c>
      <c r="AL169" t="s">
        <v>445</v>
      </c>
      <c r="AM169" t="s">
        <v>229</v>
      </c>
      <c r="AN169" t="s">
        <v>446</v>
      </c>
      <c r="AO169" t="s">
        <v>2578</v>
      </c>
      <c r="AP169" t="s">
        <v>74</v>
      </c>
      <c r="AQ169" t="s">
        <v>74</v>
      </c>
      <c r="AR169" t="s">
        <v>2579</v>
      </c>
      <c r="AS169" t="s">
        <v>2580</v>
      </c>
      <c r="AT169" t="s">
        <v>74</v>
      </c>
      <c r="AU169">
        <v>1999</v>
      </c>
      <c r="AV169">
        <v>24</v>
      </c>
      <c r="AW169">
        <v>4</v>
      </c>
      <c r="AX169" t="s">
        <v>74</v>
      </c>
      <c r="AY169" t="s">
        <v>74</v>
      </c>
      <c r="AZ169" t="s">
        <v>74</v>
      </c>
      <c r="BA169" t="s">
        <v>74</v>
      </c>
      <c r="BB169">
        <v>423</v>
      </c>
      <c r="BC169">
        <v>428</v>
      </c>
      <c r="BD169" t="s">
        <v>74</v>
      </c>
      <c r="BE169" t="s">
        <v>2581</v>
      </c>
      <c r="BF169" t="str">
        <f>HYPERLINK("http://dx.doi.org/10.1016/S1464-1895(99)00053-8","http://dx.doi.org/10.1016/S1464-1895(99)00053-8")</f>
        <v>http://dx.doi.org/10.1016/S1464-1895(99)00053-8</v>
      </c>
      <c r="BG169" t="s">
        <v>74</v>
      </c>
      <c r="BH169" t="s">
        <v>74</v>
      </c>
      <c r="BI169">
        <v>6</v>
      </c>
      <c r="BJ169" t="s">
        <v>303</v>
      </c>
      <c r="BK169" t="s">
        <v>95</v>
      </c>
      <c r="BL169" t="s">
        <v>303</v>
      </c>
      <c r="BM169" t="s">
        <v>2582</v>
      </c>
      <c r="BN169" t="s">
        <v>74</v>
      </c>
      <c r="BO169" t="s">
        <v>74</v>
      </c>
      <c r="BP169" t="s">
        <v>74</v>
      </c>
      <c r="BQ169" t="s">
        <v>74</v>
      </c>
      <c r="BR169" t="s">
        <v>98</v>
      </c>
      <c r="BS169" t="s">
        <v>2583</v>
      </c>
      <c r="BT169" t="str">
        <f>HYPERLINK("https%3A%2F%2Fwww.webofscience.com%2Fwos%2Fwoscc%2Ffull-record%2FWOS:000082497400018","View Full Record in Web of Science")</f>
        <v>View Full Record in Web of Science</v>
      </c>
    </row>
    <row r="170" spans="1:72" x14ac:dyDescent="0.15">
      <c r="A170" t="s">
        <v>72</v>
      </c>
      <c r="B170" t="s">
        <v>2584</v>
      </c>
      <c r="C170" t="s">
        <v>74</v>
      </c>
      <c r="D170" t="s">
        <v>74</v>
      </c>
      <c r="E170" t="s">
        <v>74</v>
      </c>
      <c r="F170" t="s">
        <v>2584</v>
      </c>
      <c r="G170" t="s">
        <v>74</v>
      </c>
      <c r="H170" t="s">
        <v>74</v>
      </c>
      <c r="I170" t="s">
        <v>2585</v>
      </c>
      <c r="J170" t="s">
        <v>2586</v>
      </c>
      <c r="K170" t="s">
        <v>74</v>
      </c>
      <c r="L170" t="s">
        <v>74</v>
      </c>
      <c r="M170" t="s">
        <v>77</v>
      </c>
      <c r="N170" t="s">
        <v>103</v>
      </c>
      <c r="O170" t="s">
        <v>74</v>
      </c>
      <c r="P170" t="s">
        <v>74</v>
      </c>
      <c r="Q170" t="s">
        <v>74</v>
      </c>
      <c r="R170" t="s">
        <v>74</v>
      </c>
      <c r="S170" t="s">
        <v>74</v>
      </c>
      <c r="T170" t="s">
        <v>74</v>
      </c>
      <c r="U170" t="s">
        <v>2587</v>
      </c>
      <c r="V170" t="s">
        <v>2588</v>
      </c>
      <c r="W170" t="s">
        <v>2589</v>
      </c>
      <c r="X170" t="s">
        <v>2590</v>
      </c>
      <c r="Y170" t="s">
        <v>2591</v>
      </c>
      <c r="Z170" t="s">
        <v>74</v>
      </c>
      <c r="AA170" t="s">
        <v>2592</v>
      </c>
      <c r="AB170" t="s">
        <v>2593</v>
      </c>
      <c r="AC170" t="s">
        <v>74</v>
      </c>
      <c r="AD170" t="s">
        <v>74</v>
      </c>
      <c r="AE170" t="s">
        <v>74</v>
      </c>
      <c r="AF170" t="s">
        <v>74</v>
      </c>
      <c r="AG170">
        <v>30</v>
      </c>
      <c r="AH170">
        <v>3</v>
      </c>
      <c r="AI170">
        <v>3</v>
      </c>
      <c r="AJ170">
        <v>0</v>
      </c>
      <c r="AK170">
        <v>0</v>
      </c>
      <c r="AL170" t="s">
        <v>445</v>
      </c>
      <c r="AM170" t="s">
        <v>229</v>
      </c>
      <c r="AN170" t="s">
        <v>446</v>
      </c>
      <c r="AO170" t="s">
        <v>2594</v>
      </c>
      <c r="AP170" t="s">
        <v>74</v>
      </c>
      <c r="AQ170" t="s">
        <v>74</v>
      </c>
      <c r="AR170" t="s">
        <v>2595</v>
      </c>
      <c r="AS170" t="s">
        <v>2596</v>
      </c>
      <c r="AT170" t="s">
        <v>74</v>
      </c>
      <c r="AU170">
        <v>1999</v>
      </c>
      <c r="AV170">
        <v>24</v>
      </c>
      <c r="AW170" t="s">
        <v>2597</v>
      </c>
      <c r="AX170" t="s">
        <v>74</v>
      </c>
      <c r="AY170" t="s">
        <v>74</v>
      </c>
      <c r="AZ170" t="s">
        <v>74</v>
      </c>
      <c r="BA170" t="s">
        <v>74</v>
      </c>
      <c r="BB170">
        <v>141</v>
      </c>
      <c r="BC170">
        <v>146</v>
      </c>
      <c r="BD170" t="s">
        <v>74</v>
      </c>
      <c r="BE170" t="s">
        <v>2598</v>
      </c>
      <c r="BF170" t="str">
        <f>HYPERLINK("http://dx.doi.org/10.1016/S1464-1917(98)00021-X","http://dx.doi.org/10.1016/S1464-1917(98)00021-X")</f>
        <v>http://dx.doi.org/10.1016/S1464-1917(98)00021-X</v>
      </c>
      <c r="BG170" t="s">
        <v>74</v>
      </c>
      <c r="BH170" t="s">
        <v>74</v>
      </c>
      <c r="BI170">
        <v>6</v>
      </c>
      <c r="BJ170" t="s">
        <v>303</v>
      </c>
      <c r="BK170" t="s">
        <v>95</v>
      </c>
      <c r="BL170" t="s">
        <v>303</v>
      </c>
      <c r="BM170" t="s">
        <v>2599</v>
      </c>
      <c r="BN170" t="s">
        <v>74</v>
      </c>
      <c r="BO170" t="s">
        <v>74</v>
      </c>
      <c r="BP170" t="s">
        <v>74</v>
      </c>
      <c r="BQ170" t="s">
        <v>74</v>
      </c>
      <c r="BR170" t="s">
        <v>98</v>
      </c>
      <c r="BS170" t="s">
        <v>2600</v>
      </c>
      <c r="BT170" t="str">
        <f>HYPERLINK("https%3A%2F%2Fwww.webofscience.com%2Fwos%2Fwoscc%2Ffull-record%2FWOS:000082711800021","View Full Record in Web of Science")</f>
        <v>View Full Record in Web of Science</v>
      </c>
    </row>
    <row r="171" spans="1:72" x14ac:dyDescent="0.15">
      <c r="A171" t="s">
        <v>72</v>
      </c>
      <c r="B171" t="s">
        <v>2601</v>
      </c>
      <c r="C171" t="s">
        <v>74</v>
      </c>
      <c r="D171" t="s">
        <v>74</v>
      </c>
      <c r="E171" t="s">
        <v>74</v>
      </c>
      <c r="F171" t="s">
        <v>2601</v>
      </c>
      <c r="G171" t="s">
        <v>74</v>
      </c>
      <c r="H171" t="s">
        <v>74</v>
      </c>
      <c r="I171" t="s">
        <v>2602</v>
      </c>
      <c r="J171" t="s">
        <v>2603</v>
      </c>
      <c r="K171" t="s">
        <v>74</v>
      </c>
      <c r="L171" t="s">
        <v>74</v>
      </c>
      <c r="M171" t="s">
        <v>77</v>
      </c>
      <c r="N171" t="s">
        <v>103</v>
      </c>
      <c r="O171" t="s">
        <v>74</v>
      </c>
      <c r="P171" t="s">
        <v>74</v>
      </c>
      <c r="Q171" t="s">
        <v>74</v>
      </c>
      <c r="R171" t="s">
        <v>74</v>
      </c>
      <c r="S171" t="s">
        <v>74</v>
      </c>
      <c r="T171" t="s">
        <v>74</v>
      </c>
      <c r="U171" t="s">
        <v>2604</v>
      </c>
      <c r="V171" t="s">
        <v>2605</v>
      </c>
      <c r="W171" t="s">
        <v>2606</v>
      </c>
      <c r="X171" t="s">
        <v>2607</v>
      </c>
      <c r="Y171" t="s">
        <v>2608</v>
      </c>
      <c r="Z171" t="s">
        <v>2609</v>
      </c>
      <c r="AA171" t="s">
        <v>74</v>
      </c>
      <c r="AB171" t="s">
        <v>74</v>
      </c>
      <c r="AC171" t="s">
        <v>74</v>
      </c>
      <c r="AD171" t="s">
        <v>74</v>
      </c>
      <c r="AE171" t="s">
        <v>74</v>
      </c>
      <c r="AF171" t="s">
        <v>74</v>
      </c>
      <c r="AG171">
        <v>33</v>
      </c>
      <c r="AH171">
        <v>30</v>
      </c>
      <c r="AI171">
        <v>33</v>
      </c>
      <c r="AJ171">
        <v>0</v>
      </c>
      <c r="AK171">
        <v>13</v>
      </c>
      <c r="AL171" t="s">
        <v>805</v>
      </c>
      <c r="AM171" t="s">
        <v>278</v>
      </c>
      <c r="AN171" t="s">
        <v>806</v>
      </c>
      <c r="AO171" t="s">
        <v>2610</v>
      </c>
      <c r="AP171" t="s">
        <v>2611</v>
      </c>
      <c r="AQ171" t="s">
        <v>74</v>
      </c>
      <c r="AR171" t="s">
        <v>2612</v>
      </c>
      <c r="AS171" t="s">
        <v>2613</v>
      </c>
      <c r="AT171" t="s">
        <v>143</v>
      </c>
      <c r="AU171">
        <v>1999</v>
      </c>
      <c r="AV171">
        <v>21</v>
      </c>
      <c r="AW171">
        <v>1</v>
      </c>
      <c r="AX171" t="s">
        <v>74</v>
      </c>
      <c r="AY171" t="s">
        <v>74</v>
      </c>
      <c r="AZ171" t="s">
        <v>74</v>
      </c>
      <c r="BA171" t="s">
        <v>74</v>
      </c>
      <c r="BB171">
        <v>5</v>
      </c>
      <c r="BC171">
        <v>10</v>
      </c>
      <c r="BD171" t="s">
        <v>74</v>
      </c>
      <c r="BE171" t="s">
        <v>2614</v>
      </c>
      <c r="BF171" t="str">
        <f>HYPERLINK("http://dx.doi.org/10.1007/s003000050327","http://dx.doi.org/10.1007/s003000050327")</f>
        <v>http://dx.doi.org/10.1007/s003000050327</v>
      </c>
      <c r="BG171" t="s">
        <v>74</v>
      </c>
      <c r="BH171" t="s">
        <v>74</v>
      </c>
      <c r="BI171">
        <v>6</v>
      </c>
      <c r="BJ171" t="s">
        <v>2615</v>
      </c>
      <c r="BK171" t="s">
        <v>95</v>
      </c>
      <c r="BL171" t="s">
        <v>2616</v>
      </c>
      <c r="BM171" t="s">
        <v>2617</v>
      </c>
      <c r="BN171" t="s">
        <v>74</v>
      </c>
      <c r="BO171" t="s">
        <v>74</v>
      </c>
      <c r="BP171" t="s">
        <v>74</v>
      </c>
      <c r="BQ171" t="s">
        <v>74</v>
      </c>
      <c r="BR171" t="s">
        <v>98</v>
      </c>
      <c r="BS171" t="s">
        <v>2618</v>
      </c>
      <c r="BT171" t="str">
        <f>HYPERLINK("https%3A%2F%2Fwww.webofscience.com%2Fwos%2Fwoscc%2Ffull-record%2FWOS:000077910900002","View Full Record in Web of Science")</f>
        <v>View Full Record in Web of Science</v>
      </c>
    </row>
    <row r="172" spans="1:72" x14ac:dyDescent="0.15">
      <c r="A172" t="s">
        <v>72</v>
      </c>
      <c r="B172" t="s">
        <v>2619</v>
      </c>
      <c r="C172" t="s">
        <v>74</v>
      </c>
      <c r="D172" t="s">
        <v>74</v>
      </c>
      <c r="E172" t="s">
        <v>74</v>
      </c>
      <c r="F172" t="s">
        <v>2619</v>
      </c>
      <c r="G172" t="s">
        <v>74</v>
      </c>
      <c r="H172" t="s">
        <v>74</v>
      </c>
      <c r="I172" t="s">
        <v>2620</v>
      </c>
      <c r="J172" t="s">
        <v>2603</v>
      </c>
      <c r="K172" t="s">
        <v>74</v>
      </c>
      <c r="L172" t="s">
        <v>74</v>
      </c>
      <c r="M172" t="s">
        <v>77</v>
      </c>
      <c r="N172" t="s">
        <v>103</v>
      </c>
      <c r="O172" t="s">
        <v>74</v>
      </c>
      <c r="P172" t="s">
        <v>74</v>
      </c>
      <c r="Q172" t="s">
        <v>74</v>
      </c>
      <c r="R172" t="s">
        <v>74</v>
      </c>
      <c r="S172" t="s">
        <v>74</v>
      </c>
      <c r="T172" t="s">
        <v>74</v>
      </c>
      <c r="U172" t="s">
        <v>2621</v>
      </c>
      <c r="V172" t="s">
        <v>2622</v>
      </c>
      <c r="W172" t="s">
        <v>2623</v>
      </c>
      <c r="X172" t="s">
        <v>2624</v>
      </c>
      <c r="Y172" t="s">
        <v>2625</v>
      </c>
      <c r="Z172" t="s">
        <v>2626</v>
      </c>
      <c r="AA172" t="s">
        <v>2627</v>
      </c>
      <c r="AB172" t="s">
        <v>2628</v>
      </c>
      <c r="AC172" t="s">
        <v>74</v>
      </c>
      <c r="AD172" t="s">
        <v>74</v>
      </c>
      <c r="AE172" t="s">
        <v>74</v>
      </c>
      <c r="AF172" t="s">
        <v>74</v>
      </c>
      <c r="AG172">
        <v>75</v>
      </c>
      <c r="AH172">
        <v>36</v>
      </c>
      <c r="AI172">
        <v>36</v>
      </c>
      <c r="AJ172">
        <v>0</v>
      </c>
      <c r="AK172">
        <v>4</v>
      </c>
      <c r="AL172" t="s">
        <v>805</v>
      </c>
      <c r="AM172" t="s">
        <v>278</v>
      </c>
      <c r="AN172" t="s">
        <v>806</v>
      </c>
      <c r="AO172" t="s">
        <v>2610</v>
      </c>
      <c r="AP172" t="s">
        <v>2611</v>
      </c>
      <c r="AQ172" t="s">
        <v>74</v>
      </c>
      <c r="AR172" t="s">
        <v>2612</v>
      </c>
      <c r="AS172" t="s">
        <v>2613</v>
      </c>
      <c r="AT172" t="s">
        <v>143</v>
      </c>
      <c r="AU172">
        <v>1999</v>
      </c>
      <c r="AV172">
        <v>21</v>
      </c>
      <c r="AW172">
        <v>1</v>
      </c>
      <c r="AX172" t="s">
        <v>74</v>
      </c>
      <c r="AY172" t="s">
        <v>74</v>
      </c>
      <c r="AZ172" t="s">
        <v>74</v>
      </c>
      <c r="BA172" t="s">
        <v>74</v>
      </c>
      <c r="BB172">
        <v>11</v>
      </c>
      <c r="BC172">
        <v>22</v>
      </c>
      <c r="BD172" t="s">
        <v>74</v>
      </c>
      <c r="BE172" t="s">
        <v>2629</v>
      </c>
      <c r="BF172" t="str">
        <f>HYPERLINK("http://dx.doi.org/10.1007/s003000050328","http://dx.doi.org/10.1007/s003000050328")</f>
        <v>http://dx.doi.org/10.1007/s003000050328</v>
      </c>
      <c r="BG172" t="s">
        <v>74</v>
      </c>
      <c r="BH172" t="s">
        <v>74</v>
      </c>
      <c r="BI172">
        <v>12</v>
      </c>
      <c r="BJ172" t="s">
        <v>2615</v>
      </c>
      <c r="BK172" t="s">
        <v>95</v>
      </c>
      <c r="BL172" t="s">
        <v>2616</v>
      </c>
      <c r="BM172" t="s">
        <v>2617</v>
      </c>
      <c r="BN172" t="s">
        <v>74</v>
      </c>
      <c r="BO172" t="s">
        <v>74</v>
      </c>
      <c r="BP172" t="s">
        <v>74</v>
      </c>
      <c r="BQ172" t="s">
        <v>74</v>
      </c>
      <c r="BR172" t="s">
        <v>98</v>
      </c>
      <c r="BS172" t="s">
        <v>2630</v>
      </c>
      <c r="BT172" t="str">
        <f>HYPERLINK("https%3A%2F%2Fwww.webofscience.com%2Fwos%2Fwoscc%2Ffull-record%2FWOS:000077910900003","View Full Record in Web of Science")</f>
        <v>View Full Record in Web of Science</v>
      </c>
    </row>
    <row r="173" spans="1:72" x14ac:dyDescent="0.15">
      <c r="A173" t="s">
        <v>72</v>
      </c>
      <c r="B173" t="s">
        <v>2631</v>
      </c>
      <c r="C173" t="s">
        <v>74</v>
      </c>
      <c r="D173" t="s">
        <v>74</v>
      </c>
      <c r="E173" t="s">
        <v>74</v>
      </c>
      <c r="F173" t="s">
        <v>2631</v>
      </c>
      <c r="G173" t="s">
        <v>74</v>
      </c>
      <c r="H173" t="s">
        <v>74</v>
      </c>
      <c r="I173" t="s">
        <v>2632</v>
      </c>
      <c r="J173" t="s">
        <v>2603</v>
      </c>
      <c r="K173" t="s">
        <v>74</v>
      </c>
      <c r="L173" t="s">
        <v>74</v>
      </c>
      <c r="M173" t="s">
        <v>77</v>
      </c>
      <c r="N173" t="s">
        <v>103</v>
      </c>
      <c r="O173" t="s">
        <v>74</v>
      </c>
      <c r="P173" t="s">
        <v>74</v>
      </c>
      <c r="Q173" t="s">
        <v>74</v>
      </c>
      <c r="R173" t="s">
        <v>74</v>
      </c>
      <c r="S173" t="s">
        <v>74</v>
      </c>
      <c r="T173" t="s">
        <v>74</v>
      </c>
      <c r="U173" t="s">
        <v>2633</v>
      </c>
      <c r="V173" t="s">
        <v>2634</v>
      </c>
      <c r="W173" t="s">
        <v>2635</v>
      </c>
      <c r="X173" t="s">
        <v>2636</v>
      </c>
      <c r="Y173" t="s">
        <v>2637</v>
      </c>
      <c r="Z173" t="s">
        <v>74</v>
      </c>
      <c r="AA173" t="s">
        <v>2638</v>
      </c>
      <c r="AB173" t="s">
        <v>2639</v>
      </c>
      <c r="AC173" t="s">
        <v>74</v>
      </c>
      <c r="AD173" t="s">
        <v>74</v>
      </c>
      <c r="AE173" t="s">
        <v>74</v>
      </c>
      <c r="AF173" t="s">
        <v>74</v>
      </c>
      <c r="AG173">
        <v>65</v>
      </c>
      <c r="AH173">
        <v>47</v>
      </c>
      <c r="AI173">
        <v>55</v>
      </c>
      <c r="AJ173">
        <v>0</v>
      </c>
      <c r="AK173">
        <v>8</v>
      </c>
      <c r="AL173" t="s">
        <v>887</v>
      </c>
      <c r="AM173" t="s">
        <v>278</v>
      </c>
      <c r="AN173" t="s">
        <v>888</v>
      </c>
      <c r="AO173" t="s">
        <v>2610</v>
      </c>
      <c r="AP173" t="s">
        <v>74</v>
      </c>
      <c r="AQ173" t="s">
        <v>74</v>
      </c>
      <c r="AR173" t="s">
        <v>2612</v>
      </c>
      <c r="AS173" t="s">
        <v>2613</v>
      </c>
      <c r="AT173" t="s">
        <v>143</v>
      </c>
      <c r="AU173">
        <v>1999</v>
      </c>
      <c r="AV173">
        <v>21</v>
      </c>
      <c r="AW173">
        <v>1</v>
      </c>
      <c r="AX173" t="s">
        <v>74</v>
      </c>
      <c r="AY173" t="s">
        <v>74</v>
      </c>
      <c r="AZ173" t="s">
        <v>74</v>
      </c>
      <c r="BA173" t="s">
        <v>74</v>
      </c>
      <c r="BB173">
        <v>23</v>
      </c>
      <c r="BC173">
        <v>36</v>
      </c>
      <c r="BD173" t="s">
        <v>74</v>
      </c>
      <c r="BE173" t="s">
        <v>2640</v>
      </c>
      <c r="BF173" t="str">
        <f>HYPERLINK("http://dx.doi.org/10.1007/s003000050329","http://dx.doi.org/10.1007/s003000050329")</f>
        <v>http://dx.doi.org/10.1007/s003000050329</v>
      </c>
      <c r="BG173" t="s">
        <v>74</v>
      </c>
      <c r="BH173" t="s">
        <v>74</v>
      </c>
      <c r="BI173">
        <v>14</v>
      </c>
      <c r="BJ173" t="s">
        <v>2615</v>
      </c>
      <c r="BK173" t="s">
        <v>95</v>
      </c>
      <c r="BL173" t="s">
        <v>2616</v>
      </c>
      <c r="BM173" t="s">
        <v>2617</v>
      </c>
      <c r="BN173" t="s">
        <v>74</v>
      </c>
      <c r="BO173" t="s">
        <v>74</v>
      </c>
      <c r="BP173" t="s">
        <v>74</v>
      </c>
      <c r="BQ173" t="s">
        <v>74</v>
      </c>
      <c r="BR173" t="s">
        <v>98</v>
      </c>
      <c r="BS173" t="s">
        <v>2641</v>
      </c>
      <c r="BT173" t="str">
        <f>HYPERLINK("https%3A%2F%2Fwww.webofscience.com%2Fwos%2Fwoscc%2Ffull-record%2FWOS:000077910900004","View Full Record in Web of Science")</f>
        <v>View Full Record in Web of Science</v>
      </c>
    </row>
    <row r="174" spans="1:72" x14ac:dyDescent="0.15">
      <c r="A174" t="s">
        <v>72</v>
      </c>
      <c r="B174" t="s">
        <v>2642</v>
      </c>
      <c r="C174" t="s">
        <v>74</v>
      </c>
      <c r="D174" t="s">
        <v>74</v>
      </c>
      <c r="E174" t="s">
        <v>74</v>
      </c>
      <c r="F174" t="s">
        <v>2642</v>
      </c>
      <c r="G174" t="s">
        <v>74</v>
      </c>
      <c r="H174" t="s">
        <v>74</v>
      </c>
      <c r="I174" t="s">
        <v>2643</v>
      </c>
      <c r="J174" t="s">
        <v>2603</v>
      </c>
      <c r="K174" t="s">
        <v>74</v>
      </c>
      <c r="L174" t="s">
        <v>74</v>
      </c>
      <c r="M174" t="s">
        <v>77</v>
      </c>
      <c r="N174" t="s">
        <v>103</v>
      </c>
      <c r="O174" t="s">
        <v>74</v>
      </c>
      <c r="P174" t="s">
        <v>74</v>
      </c>
      <c r="Q174" t="s">
        <v>74</v>
      </c>
      <c r="R174" t="s">
        <v>74</v>
      </c>
      <c r="S174" t="s">
        <v>74</v>
      </c>
      <c r="T174" t="s">
        <v>74</v>
      </c>
      <c r="U174" t="s">
        <v>2644</v>
      </c>
      <c r="V174" t="s">
        <v>2645</v>
      </c>
      <c r="W174" t="s">
        <v>2646</v>
      </c>
      <c r="X174" t="s">
        <v>2647</v>
      </c>
      <c r="Y174" t="s">
        <v>2648</v>
      </c>
      <c r="Z174" t="s">
        <v>74</v>
      </c>
      <c r="AA174" t="s">
        <v>2649</v>
      </c>
      <c r="AB174" t="s">
        <v>74</v>
      </c>
      <c r="AC174" t="s">
        <v>74</v>
      </c>
      <c r="AD174" t="s">
        <v>74</v>
      </c>
      <c r="AE174" t="s">
        <v>74</v>
      </c>
      <c r="AF174" t="s">
        <v>74</v>
      </c>
      <c r="AG174">
        <v>40</v>
      </c>
      <c r="AH174">
        <v>63</v>
      </c>
      <c r="AI174">
        <v>67</v>
      </c>
      <c r="AJ174">
        <v>1</v>
      </c>
      <c r="AK174">
        <v>26</v>
      </c>
      <c r="AL174" t="s">
        <v>887</v>
      </c>
      <c r="AM174" t="s">
        <v>278</v>
      </c>
      <c r="AN174" t="s">
        <v>888</v>
      </c>
      <c r="AO174" t="s">
        <v>2610</v>
      </c>
      <c r="AP174" t="s">
        <v>74</v>
      </c>
      <c r="AQ174" t="s">
        <v>74</v>
      </c>
      <c r="AR174" t="s">
        <v>2612</v>
      </c>
      <c r="AS174" t="s">
        <v>2613</v>
      </c>
      <c r="AT174" t="s">
        <v>143</v>
      </c>
      <c r="AU174">
        <v>1999</v>
      </c>
      <c r="AV174">
        <v>21</v>
      </c>
      <c r="AW174">
        <v>1</v>
      </c>
      <c r="AX174" t="s">
        <v>74</v>
      </c>
      <c r="AY174" t="s">
        <v>74</v>
      </c>
      <c r="AZ174" t="s">
        <v>74</v>
      </c>
      <c r="BA174" t="s">
        <v>74</v>
      </c>
      <c r="BB174">
        <v>37</v>
      </c>
      <c r="BC174">
        <v>47</v>
      </c>
      <c r="BD174" t="s">
        <v>74</v>
      </c>
      <c r="BE174" t="s">
        <v>2650</v>
      </c>
      <c r="BF174" t="str">
        <f>HYPERLINK("http://dx.doi.org/10.1007/s003000050330","http://dx.doi.org/10.1007/s003000050330")</f>
        <v>http://dx.doi.org/10.1007/s003000050330</v>
      </c>
      <c r="BG174" t="s">
        <v>74</v>
      </c>
      <c r="BH174" t="s">
        <v>74</v>
      </c>
      <c r="BI174">
        <v>11</v>
      </c>
      <c r="BJ174" t="s">
        <v>2615</v>
      </c>
      <c r="BK174" t="s">
        <v>95</v>
      </c>
      <c r="BL174" t="s">
        <v>2616</v>
      </c>
      <c r="BM174" t="s">
        <v>2617</v>
      </c>
      <c r="BN174" t="s">
        <v>74</v>
      </c>
      <c r="BO174" t="s">
        <v>74</v>
      </c>
      <c r="BP174" t="s">
        <v>74</v>
      </c>
      <c r="BQ174" t="s">
        <v>74</v>
      </c>
      <c r="BR174" t="s">
        <v>98</v>
      </c>
      <c r="BS174" t="s">
        <v>2651</v>
      </c>
      <c r="BT174" t="str">
        <f>HYPERLINK("https%3A%2F%2Fwww.webofscience.com%2Fwos%2Fwoscc%2Ffull-record%2FWOS:000077910900005","View Full Record in Web of Science")</f>
        <v>View Full Record in Web of Science</v>
      </c>
    </row>
    <row r="175" spans="1:72" x14ac:dyDescent="0.15">
      <c r="A175" t="s">
        <v>72</v>
      </c>
      <c r="B175" t="s">
        <v>2652</v>
      </c>
      <c r="C175" t="s">
        <v>74</v>
      </c>
      <c r="D175" t="s">
        <v>74</v>
      </c>
      <c r="E175" t="s">
        <v>74</v>
      </c>
      <c r="F175" t="s">
        <v>2652</v>
      </c>
      <c r="G175" t="s">
        <v>74</v>
      </c>
      <c r="H175" t="s">
        <v>74</v>
      </c>
      <c r="I175" t="s">
        <v>2653</v>
      </c>
      <c r="J175" t="s">
        <v>2603</v>
      </c>
      <c r="K175" t="s">
        <v>74</v>
      </c>
      <c r="L175" t="s">
        <v>74</v>
      </c>
      <c r="M175" t="s">
        <v>77</v>
      </c>
      <c r="N175" t="s">
        <v>103</v>
      </c>
      <c r="O175" t="s">
        <v>74</v>
      </c>
      <c r="P175" t="s">
        <v>74</v>
      </c>
      <c r="Q175" t="s">
        <v>74</v>
      </c>
      <c r="R175" t="s">
        <v>74</v>
      </c>
      <c r="S175" t="s">
        <v>74</v>
      </c>
      <c r="T175" t="s">
        <v>74</v>
      </c>
      <c r="U175" t="s">
        <v>2654</v>
      </c>
      <c r="V175" t="s">
        <v>2655</v>
      </c>
      <c r="W175" t="s">
        <v>2656</v>
      </c>
      <c r="X175" t="s">
        <v>2657</v>
      </c>
      <c r="Y175" t="s">
        <v>2658</v>
      </c>
      <c r="Z175" t="s">
        <v>2659</v>
      </c>
      <c r="AA175" t="s">
        <v>2660</v>
      </c>
      <c r="AB175" t="s">
        <v>2661</v>
      </c>
      <c r="AC175" t="s">
        <v>74</v>
      </c>
      <c r="AD175" t="s">
        <v>74</v>
      </c>
      <c r="AE175" t="s">
        <v>74</v>
      </c>
      <c r="AF175" t="s">
        <v>74</v>
      </c>
      <c r="AG175">
        <v>39</v>
      </c>
      <c r="AH175">
        <v>26</v>
      </c>
      <c r="AI175">
        <v>28</v>
      </c>
      <c r="AJ175">
        <v>0</v>
      </c>
      <c r="AK175">
        <v>5</v>
      </c>
      <c r="AL175" t="s">
        <v>887</v>
      </c>
      <c r="AM175" t="s">
        <v>278</v>
      </c>
      <c r="AN175" t="s">
        <v>888</v>
      </c>
      <c r="AO175" t="s">
        <v>2610</v>
      </c>
      <c r="AP175" t="s">
        <v>74</v>
      </c>
      <c r="AQ175" t="s">
        <v>74</v>
      </c>
      <c r="AR175" t="s">
        <v>2612</v>
      </c>
      <c r="AS175" t="s">
        <v>2613</v>
      </c>
      <c r="AT175" t="s">
        <v>143</v>
      </c>
      <c r="AU175">
        <v>1999</v>
      </c>
      <c r="AV175">
        <v>21</v>
      </c>
      <c r="AW175">
        <v>1</v>
      </c>
      <c r="AX175" t="s">
        <v>74</v>
      </c>
      <c r="AY175" t="s">
        <v>74</v>
      </c>
      <c r="AZ175" t="s">
        <v>74</v>
      </c>
      <c r="BA175" t="s">
        <v>74</v>
      </c>
      <c r="BB175">
        <v>59</v>
      </c>
      <c r="BC175">
        <v>63</v>
      </c>
      <c r="BD175" t="s">
        <v>74</v>
      </c>
      <c r="BE175" t="s">
        <v>2662</v>
      </c>
      <c r="BF175" t="str">
        <f>HYPERLINK("http://dx.doi.org/10.1007/s003000050333","http://dx.doi.org/10.1007/s003000050333")</f>
        <v>http://dx.doi.org/10.1007/s003000050333</v>
      </c>
      <c r="BG175" t="s">
        <v>74</v>
      </c>
      <c r="BH175" t="s">
        <v>74</v>
      </c>
      <c r="BI175">
        <v>5</v>
      </c>
      <c r="BJ175" t="s">
        <v>2615</v>
      </c>
      <c r="BK175" t="s">
        <v>95</v>
      </c>
      <c r="BL175" t="s">
        <v>2616</v>
      </c>
      <c r="BM175" t="s">
        <v>2617</v>
      </c>
      <c r="BN175" t="s">
        <v>74</v>
      </c>
      <c r="BO175" t="s">
        <v>74</v>
      </c>
      <c r="BP175" t="s">
        <v>74</v>
      </c>
      <c r="BQ175" t="s">
        <v>74</v>
      </c>
      <c r="BR175" t="s">
        <v>98</v>
      </c>
      <c r="BS175" t="s">
        <v>2663</v>
      </c>
      <c r="BT175" t="str">
        <f>HYPERLINK("https%3A%2F%2Fwww.webofscience.com%2Fwos%2Fwoscc%2Ffull-record%2FWOS:000077910900008","View Full Record in Web of Science")</f>
        <v>View Full Record in Web of Science</v>
      </c>
    </row>
    <row r="176" spans="1:72" x14ac:dyDescent="0.15">
      <c r="A176" t="s">
        <v>72</v>
      </c>
      <c r="B176" t="s">
        <v>2664</v>
      </c>
      <c r="C176" t="s">
        <v>74</v>
      </c>
      <c r="D176" t="s">
        <v>74</v>
      </c>
      <c r="E176" t="s">
        <v>74</v>
      </c>
      <c r="F176" t="s">
        <v>2664</v>
      </c>
      <c r="G176" t="s">
        <v>74</v>
      </c>
      <c r="H176" t="s">
        <v>74</v>
      </c>
      <c r="I176" t="s">
        <v>2665</v>
      </c>
      <c r="J176" t="s">
        <v>2666</v>
      </c>
      <c r="K176" t="s">
        <v>74</v>
      </c>
      <c r="L176" t="s">
        <v>74</v>
      </c>
      <c r="M176" t="s">
        <v>77</v>
      </c>
      <c r="N176" t="s">
        <v>2667</v>
      </c>
      <c r="O176" t="s">
        <v>74</v>
      </c>
      <c r="P176" t="s">
        <v>74</v>
      </c>
      <c r="Q176" t="s">
        <v>74</v>
      </c>
      <c r="R176" t="s">
        <v>74</v>
      </c>
      <c r="S176" t="s">
        <v>74</v>
      </c>
      <c r="T176" t="s">
        <v>74</v>
      </c>
      <c r="U176" t="s">
        <v>74</v>
      </c>
      <c r="V176" t="s">
        <v>74</v>
      </c>
      <c r="W176" t="s">
        <v>2668</v>
      </c>
      <c r="X176" t="s">
        <v>628</v>
      </c>
      <c r="Y176" t="s">
        <v>2669</v>
      </c>
      <c r="Z176" t="s">
        <v>74</v>
      </c>
      <c r="AA176" t="s">
        <v>74</v>
      </c>
      <c r="AB176" t="s">
        <v>74</v>
      </c>
      <c r="AC176" t="s">
        <v>74</v>
      </c>
      <c r="AD176" t="s">
        <v>74</v>
      </c>
      <c r="AE176" t="s">
        <v>74</v>
      </c>
      <c r="AF176" t="s">
        <v>74</v>
      </c>
      <c r="AG176">
        <v>0</v>
      </c>
      <c r="AH176">
        <v>0</v>
      </c>
      <c r="AI176">
        <v>0</v>
      </c>
      <c r="AJ176">
        <v>0</v>
      </c>
      <c r="AK176">
        <v>0</v>
      </c>
      <c r="AL176" t="s">
        <v>2670</v>
      </c>
      <c r="AM176" t="s">
        <v>1082</v>
      </c>
      <c r="AN176" t="s">
        <v>2671</v>
      </c>
      <c r="AO176" t="s">
        <v>2672</v>
      </c>
      <c r="AP176" t="s">
        <v>74</v>
      </c>
      <c r="AQ176" t="s">
        <v>74</v>
      </c>
      <c r="AR176" t="s">
        <v>2673</v>
      </c>
      <c r="AS176" t="s">
        <v>2674</v>
      </c>
      <c r="AT176" t="s">
        <v>74</v>
      </c>
      <c r="AU176">
        <v>1999</v>
      </c>
      <c r="AV176">
        <v>18</v>
      </c>
      <c r="AW176">
        <v>2</v>
      </c>
      <c r="AX176" t="s">
        <v>74</v>
      </c>
      <c r="AY176" t="s">
        <v>74</v>
      </c>
      <c r="AZ176" t="s">
        <v>74</v>
      </c>
      <c r="BA176" t="s">
        <v>74</v>
      </c>
      <c r="BB176">
        <v>117</v>
      </c>
      <c r="BC176">
        <v>118</v>
      </c>
      <c r="BD176" t="s">
        <v>74</v>
      </c>
      <c r="BE176" t="s">
        <v>2675</v>
      </c>
      <c r="BF176" t="str">
        <f>HYPERLINK("http://dx.doi.org/10.1111/j.1751-8369.1999.tb00282.x","http://dx.doi.org/10.1111/j.1751-8369.1999.tb00282.x")</f>
        <v>http://dx.doi.org/10.1111/j.1751-8369.1999.tb00282.x</v>
      </c>
      <c r="BG176" t="s">
        <v>74</v>
      </c>
      <c r="BH176" t="s">
        <v>74</v>
      </c>
      <c r="BI176">
        <v>2</v>
      </c>
      <c r="BJ176" t="s">
        <v>2676</v>
      </c>
      <c r="BK176" t="s">
        <v>95</v>
      </c>
      <c r="BL176" t="s">
        <v>2677</v>
      </c>
      <c r="BM176" t="s">
        <v>2678</v>
      </c>
      <c r="BN176" t="s">
        <v>74</v>
      </c>
      <c r="BO176" t="s">
        <v>2679</v>
      </c>
      <c r="BP176" t="s">
        <v>74</v>
      </c>
      <c r="BQ176" t="s">
        <v>74</v>
      </c>
      <c r="BR176" t="s">
        <v>98</v>
      </c>
      <c r="BS176" t="s">
        <v>2680</v>
      </c>
      <c r="BT176" t="str">
        <f>HYPERLINK("https%3A%2F%2Fwww.webofscience.com%2Fwos%2Fwoscc%2Ffull-record%2FWOS:000085228300003","View Full Record in Web of Science")</f>
        <v>View Full Record in Web of Science</v>
      </c>
    </row>
    <row r="177" spans="1:72" x14ac:dyDescent="0.15">
      <c r="A177" t="s">
        <v>72</v>
      </c>
      <c r="B177" t="s">
        <v>2681</v>
      </c>
      <c r="C177" t="s">
        <v>74</v>
      </c>
      <c r="D177" t="s">
        <v>74</v>
      </c>
      <c r="E177" t="s">
        <v>74</v>
      </c>
      <c r="F177" t="s">
        <v>2681</v>
      </c>
      <c r="G177" t="s">
        <v>74</v>
      </c>
      <c r="H177" t="s">
        <v>74</v>
      </c>
      <c r="I177" t="s">
        <v>2682</v>
      </c>
      <c r="J177" t="s">
        <v>2666</v>
      </c>
      <c r="K177" t="s">
        <v>74</v>
      </c>
      <c r="L177" t="s">
        <v>74</v>
      </c>
      <c r="M177" t="s">
        <v>77</v>
      </c>
      <c r="N177" t="s">
        <v>123</v>
      </c>
      <c r="O177" t="s">
        <v>2683</v>
      </c>
      <c r="P177" t="s">
        <v>2684</v>
      </c>
      <c r="Q177" t="s">
        <v>2685</v>
      </c>
      <c r="R177" t="s">
        <v>74</v>
      </c>
      <c r="S177" t="s">
        <v>74</v>
      </c>
      <c r="T177" t="s">
        <v>74</v>
      </c>
      <c r="U177" t="s">
        <v>74</v>
      </c>
      <c r="V177" t="s">
        <v>74</v>
      </c>
      <c r="W177" t="s">
        <v>2686</v>
      </c>
      <c r="X177" t="s">
        <v>1142</v>
      </c>
      <c r="Y177" t="s">
        <v>2687</v>
      </c>
      <c r="Z177" t="s">
        <v>74</v>
      </c>
      <c r="AA177" t="s">
        <v>74</v>
      </c>
      <c r="AB177" t="s">
        <v>74</v>
      </c>
      <c r="AC177" t="s">
        <v>74</v>
      </c>
      <c r="AD177" t="s">
        <v>74</v>
      </c>
      <c r="AE177" t="s">
        <v>74</v>
      </c>
      <c r="AF177" t="s">
        <v>74</v>
      </c>
      <c r="AG177">
        <v>5</v>
      </c>
      <c r="AH177">
        <v>0</v>
      </c>
      <c r="AI177">
        <v>0</v>
      </c>
      <c r="AJ177">
        <v>0</v>
      </c>
      <c r="AK177">
        <v>0</v>
      </c>
      <c r="AL177" t="s">
        <v>2670</v>
      </c>
      <c r="AM177" t="s">
        <v>1082</v>
      </c>
      <c r="AN177" t="s">
        <v>2671</v>
      </c>
      <c r="AO177" t="s">
        <v>2672</v>
      </c>
      <c r="AP177" t="s">
        <v>74</v>
      </c>
      <c r="AQ177" t="s">
        <v>74</v>
      </c>
      <c r="AR177" t="s">
        <v>2673</v>
      </c>
      <c r="AS177" t="s">
        <v>2674</v>
      </c>
      <c r="AT177" t="s">
        <v>74</v>
      </c>
      <c r="AU177">
        <v>1999</v>
      </c>
      <c r="AV177">
        <v>18</v>
      </c>
      <c r="AW177">
        <v>2</v>
      </c>
      <c r="AX177" t="s">
        <v>74</v>
      </c>
      <c r="AY177" t="s">
        <v>74</v>
      </c>
      <c r="AZ177" t="s">
        <v>74</v>
      </c>
      <c r="BA177" t="s">
        <v>74</v>
      </c>
      <c r="BB177">
        <v>119</v>
      </c>
      <c r="BC177">
        <v>125</v>
      </c>
      <c r="BD177" t="s">
        <v>74</v>
      </c>
      <c r="BE177" t="s">
        <v>2688</v>
      </c>
      <c r="BF177" t="str">
        <f>HYPERLINK("http://dx.doi.org/10.1111/j.1751-8369.1999.tb00283.x","http://dx.doi.org/10.1111/j.1751-8369.1999.tb00283.x")</f>
        <v>http://dx.doi.org/10.1111/j.1751-8369.1999.tb00283.x</v>
      </c>
      <c r="BG177" t="s">
        <v>74</v>
      </c>
      <c r="BH177" t="s">
        <v>74</v>
      </c>
      <c r="BI177">
        <v>7</v>
      </c>
      <c r="BJ177" t="s">
        <v>2676</v>
      </c>
      <c r="BK177" t="s">
        <v>235</v>
      </c>
      <c r="BL177" t="s">
        <v>2677</v>
      </c>
      <c r="BM177" t="s">
        <v>2678</v>
      </c>
      <c r="BN177" t="s">
        <v>74</v>
      </c>
      <c r="BO177" t="s">
        <v>1429</v>
      </c>
      <c r="BP177" t="s">
        <v>74</v>
      </c>
      <c r="BQ177" t="s">
        <v>74</v>
      </c>
      <c r="BR177" t="s">
        <v>98</v>
      </c>
      <c r="BS177" t="s">
        <v>2689</v>
      </c>
      <c r="BT177" t="str">
        <f>HYPERLINK("https%3A%2F%2Fwww.webofscience.com%2Fwos%2Fwoscc%2Ffull-record%2FWOS:000085228300004","View Full Record in Web of Science")</f>
        <v>View Full Record in Web of Science</v>
      </c>
    </row>
    <row r="178" spans="1:72" x14ac:dyDescent="0.15">
      <c r="A178" t="s">
        <v>72</v>
      </c>
      <c r="B178" t="s">
        <v>2690</v>
      </c>
      <c r="C178" t="s">
        <v>74</v>
      </c>
      <c r="D178" t="s">
        <v>74</v>
      </c>
      <c r="E178" t="s">
        <v>74</v>
      </c>
      <c r="F178" t="s">
        <v>2690</v>
      </c>
      <c r="G178" t="s">
        <v>74</v>
      </c>
      <c r="H178" t="s">
        <v>74</v>
      </c>
      <c r="I178" t="s">
        <v>2691</v>
      </c>
      <c r="J178" t="s">
        <v>2666</v>
      </c>
      <c r="K178" t="s">
        <v>74</v>
      </c>
      <c r="L178" t="s">
        <v>74</v>
      </c>
      <c r="M178" t="s">
        <v>77</v>
      </c>
      <c r="N178" t="s">
        <v>123</v>
      </c>
      <c r="O178" t="s">
        <v>2683</v>
      </c>
      <c r="P178" t="s">
        <v>2684</v>
      </c>
      <c r="Q178" t="s">
        <v>2685</v>
      </c>
      <c r="R178" t="s">
        <v>74</v>
      </c>
      <c r="S178" t="s">
        <v>74</v>
      </c>
      <c r="T178" t="s">
        <v>74</v>
      </c>
      <c r="U178" t="s">
        <v>74</v>
      </c>
      <c r="V178" t="s">
        <v>2692</v>
      </c>
      <c r="W178" t="s">
        <v>2693</v>
      </c>
      <c r="X178" t="s">
        <v>2694</v>
      </c>
      <c r="Y178" t="s">
        <v>2695</v>
      </c>
      <c r="Z178" t="s">
        <v>74</v>
      </c>
      <c r="AA178" t="s">
        <v>74</v>
      </c>
      <c r="AB178" t="s">
        <v>74</v>
      </c>
      <c r="AC178" t="s">
        <v>74</v>
      </c>
      <c r="AD178" t="s">
        <v>74</v>
      </c>
      <c r="AE178" t="s">
        <v>74</v>
      </c>
      <c r="AF178" t="s">
        <v>74</v>
      </c>
      <c r="AG178">
        <v>15</v>
      </c>
      <c r="AH178">
        <v>18</v>
      </c>
      <c r="AI178">
        <v>22</v>
      </c>
      <c r="AJ178">
        <v>0</v>
      </c>
      <c r="AK178">
        <v>5</v>
      </c>
      <c r="AL178" t="s">
        <v>2670</v>
      </c>
      <c r="AM178" t="s">
        <v>1082</v>
      </c>
      <c r="AN178" t="s">
        <v>2671</v>
      </c>
      <c r="AO178" t="s">
        <v>2672</v>
      </c>
      <c r="AP178" t="s">
        <v>74</v>
      </c>
      <c r="AQ178" t="s">
        <v>74</v>
      </c>
      <c r="AR178" t="s">
        <v>2673</v>
      </c>
      <c r="AS178" t="s">
        <v>2674</v>
      </c>
      <c r="AT178" t="s">
        <v>74</v>
      </c>
      <c r="AU178">
        <v>1999</v>
      </c>
      <c r="AV178">
        <v>18</v>
      </c>
      <c r="AW178">
        <v>2</v>
      </c>
      <c r="AX178" t="s">
        <v>74</v>
      </c>
      <c r="AY178" t="s">
        <v>74</v>
      </c>
      <c r="AZ178" t="s">
        <v>74</v>
      </c>
      <c r="BA178" t="s">
        <v>74</v>
      </c>
      <c r="BB178">
        <v>127</v>
      </c>
      <c r="BC178">
        <v>134</v>
      </c>
      <c r="BD178" t="s">
        <v>74</v>
      </c>
      <c r="BE178" t="s">
        <v>2696</v>
      </c>
      <c r="BF178" t="str">
        <f>HYPERLINK("http://dx.doi.org/10.1111/j.1751-8369.1999.tb00284.x","http://dx.doi.org/10.1111/j.1751-8369.1999.tb00284.x")</f>
        <v>http://dx.doi.org/10.1111/j.1751-8369.1999.tb00284.x</v>
      </c>
      <c r="BG178" t="s">
        <v>74</v>
      </c>
      <c r="BH178" t="s">
        <v>74</v>
      </c>
      <c r="BI178">
        <v>8</v>
      </c>
      <c r="BJ178" t="s">
        <v>2676</v>
      </c>
      <c r="BK178" t="s">
        <v>235</v>
      </c>
      <c r="BL178" t="s">
        <v>2677</v>
      </c>
      <c r="BM178" t="s">
        <v>2678</v>
      </c>
      <c r="BN178" t="s">
        <v>74</v>
      </c>
      <c r="BO178" t="s">
        <v>74</v>
      </c>
      <c r="BP178" t="s">
        <v>74</v>
      </c>
      <c r="BQ178" t="s">
        <v>74</v>
      </c>
      <c r="BR178" t="s">
        <v>98</v>
      </c>
      <c r="BS178" t="s">
        <v>2697</v>
      </c>
      <c r="BT178" t="str">
        <f>HYPERLINK("https%3A%2F%2Fwww.webofscience.com%2Fwos%2Fwoscc%2Ffull-record%2FWOS:000085228300005","View Full Record in Web of Science")</f>
        <v>View Full Record in Web of Science</v>
      </c>
    </row>
    <row r="179" spans="1:72" x14ac:dyDescent="0.15">
      <c r="A179" t="s">
        <v>72</v>
      </c>
      <c r="B179" t="s">
        <v>2698</v>
      </c>
      <c r="C179" t="s">
        <v>74</v>
      </c>
      <c r="D179" t="s">
        <v>74</v>
      </c>
      <c r="E179" t="s">
        <v>74</v>
      </c>
      <c r="F179" t="s">
        <v>2698</v>
      </c>
      <c r="G179" t="s">
        <v>74</v>
      </c>
      <c r="H179" t="s">
        <v>74</v>
      </c>
      <c r="I179" t="s">
        <v>2699</v>
      </c>
      <c r="J179" t="s">
        <v>2666</v>
      </c>
      <c r="K179" t="s">
        <v>74</v>
      </c>
      <c r="L179" t="s">
        <v>74</v>
      </c>
      <c r="M179" t="s">
        <v>77</v>
      </c>
      <c r="N179" t="s">
        <v>123</v>
      </c>
      <c r="O179" t="s">
        <v>2683</v>
      </c>
      <c r="P179" t="s">
        <v>2684</v>
      </c>
      <c r="Q179" t="s">
        <v>2685</v>
      </c>
      <c r="R179" t="s">
        <v>74</v>
      </c>
      <c r="S179" t="s">
        <v>74</v>
      </c>
      <c r="T179" t="s">
        <v>74</v>
      </c>
      <c r="U179" t="s">
        <v>2700</v>
      </c>
      <c r="V179" t="s">
        <v>2701</v>
      </c>
      <c r="W179" t="s">
        <v>2702</v>
      </c>
      <c r="X179" t="s">
        <v>243</v>
      </c>
      <c r="Y179" t="s">
        <v>2703</v>
      </c>
      <c r="Z179" t="s">
        <v>74</v>
      </c>
      <c r="AA179" t="s">
        <v>74</v>
      </c>
      <c r="AB179" t="s">
        <v>2704</v>
      </c>
      <c r="AC179" t="s">
        <v>74</v>
      </c>
      <c r="AD179" t="s">
        <v>74</v>
      </c>
      <c r="AE179" t="s">
        <v>74</v>
      </c>
      <c r="AF179" t="s">
        <v>74</v>
      </c>
      <c r="AG179">
        <v>32</v>
      </c>
      <c r="AH179">
        <v>53</v>
      </c>
      <c r="AI179">
        <v>58</v>
      </c>
      <c r="AJ179">
        <v>0</v>
      </c>
      <c r="AK179">
        <v>19</v>
      </c>
      <c r="AL179" t="s">
        <v>2670</v>
      </c>
      <c r="AM179" t="s">
        <v>1082</v>
      </c>
      <c r="AN179" t="s">
        <v>2671</v>
      </c>
      <c r="AO179" t="s">
        <v>2672</v>
      </c>
      <c r="AP179" t="s">
        <v>74</v>
      </c>
      <c r="AQ179" t="s">
        <v>74</v>
      </c>
      <c r="AR179" t="s">
        <v>2673</v>
      </c>
      <c r="AS179" t="s">
        <v>2674</v>
      </c>
      <c r="AT179" t="s">
        <v>74</v>
      </c>
      <c r="AU179">
        <v>1999</v>
      </c>
      <c r="AV179">
        <v>18</v>
      </c>
      <c r="AW179">
        <v>2</v>
      </c>
      <c r="AX179" t="s">
        <v>74</v>
      </c>
      <c r="AY179" t="s">
        <v>74</v>
      </c>
      <c r="AZ179" t="s">
        <v>74</v>
      </c>
      <c r="BA179" t="s">
        <v>74</v>
      </c>
      <c r="BB179">
        <v>135</v>
      </c>
      <c r="BC179">
        <v>142</v>
      </c>
      <c r="BD179" t="s">
        <v>74</v>
      </c>
      <c r="BE179" t="s">
        <v>2705</v>
      </c>
      <c r="BF179" t="str">
        <f>HYPERLINK("http://dx.doi.org/10.1111/j.1751-8369.1999.tb00285.x","http://dx.doi.org/10.1111/j.1751-8369.1999.tb00285.x")</f>
        <v>http://dx.doi.org/10.1111/j.1751-8369.1999.tb00285.x</v>
      </c>
      <c r="BG179" t="s">
        <v>74</v>
      </c>
      <c r="BH179" t="s">
        <v>74</v>
      </c>
      <c r="BI179">
        <v>8</v>
      </c>
      <c r="BJ179" t="s">
        <v>2676</v>
      </c>
      <c r="BK179" t="s">
        <v>235</v>
      </c>
      <c r="BL179" t="s">
        <v>2677</v>
      </c>
      <c r="BM179" t="s">
        <v>2678</v>
      </c>
      <c r="BN179" t="s">
        <v>74</v>
      </c>
      <c r="BO179" t="s">
        <v>74</v>
      </c>
      <c r="BP179" t="s">
        <v>74</v>
      </c>
      <c r="BQ179" t="s">
        <v>74</v>
      </c>
      <c r="BR179" t="s">
        <v>98</v>
      </c>
      <c r="BS179" t="s">
        <v>2706</v>
      </c>
      <c r="BT179" t="str">
        <f>HYPERLINK("https%3A%2F%2Fwww.webofscience.com%2Fwos%2Fwoscc%2Ffull-record%2FWOS:000085228300006","View Full Record in Web of Science")</f>
        <v>View Full Record in Web of Science</v>
      </c>
    </row>
    <row r="180" spans="1:72" x14ac:dyDescent="0.15">
      <c r="A180" t="s">
        <v>72</v>
      </c>
      <c r="B180" t="s">
        <v>2707</v>
      </c>
      <c r="C180" t="s">
        <v>74</v>
      </c>
      <c r="D180" t="s">
        <v>74</v>
      </c>
      <c r="E180" t="s">
        <v>74</v>
      </c>
      <c r="F180" t="s">
        <v>2707</v>
      </c>
      <c r="G180" t="s">
        <v>74</v>
      </c>
      <c r="H180" t="s">
        <v>74</v>
      </c>
      <c r="I180" t="s">
        <v>2708</v>
      </c>
      <c r="J180" t="s">
        <v>2666</v>
      </c>
      <c r="K180" t="s">
        <v>74</v>
      </c>
      <c r="L180" t="s">
        <v>74</v>
      </c>
      <c r="M180" t="s">
        <v>77</v>
      </c>
      <c r="N180" t="s">
        <v>123</v>
      </c>
      <c r="O180" t="s">
        <v>2683</v>
      </c>
      <c r="P180" t="s">
        <v>2684</v>
      </c>
      <c r="Q180" t="s">
        <v>2685</v>
      </c>
      <c r="R180" t="s">
        <v>74</v>
      </c>
      <c r="S180" t="s">
        <v>74</v>
      </c>
      <c r="T180" t="s">
        <v>74</v>
      </c>
      <c r="U180" t="s">
        <v>2709</v>
      </c>
      <c r="V180" t="s">
        <v>2710</v>
      </c>
      <c r="W180" t="s">
        <v>2711</v>
      </c>
      <c r="X180" t="s">
        <v>2712</v>
      </c>
      <c r="Y180" t="s">
        <v>2713</v>
      </c>
      <c r="Z180" t="s">
        <v>74</v>
      </c>
      <c r="AA180" t="s">
        <v>2714</v>
      </c>
      <c r="AB180" t="s">
        <v>2715</v>
      </c>
      <c r="AC180" t="s">
        <v>74</v>
      </c>
      <c r="AD180" t="s">
        <v>74</v>
      </c>
      <c r="AE180" t="s">
        <v>74</v>
      </c>
      <c r="AF180" t="s">
        <v>74</v>
      </c>
      <c r="AG180">
        <v>18</v>
      </c>
      <c r="AH180">
        <v>20</v>
      </c>
      <c r="AI180">
        <v>20</v>
      </c>
      <c r="AJ180">
        <v>0</v>
      </c>
      <c r="AK180">
        <v>3</v>
      </c>
      <c r="AL180" t="s">
        <v>2670</v>
      </c>
      <c r="AM180" t="s">
        <v>1082</v>
      </c>
      <c r="AN180" t="s">
        <v>2671</v>
      </c>
      <c r="AO180" t="s">
        <v>2672</v>
      </c>
      <c r="AP180" t="s">
        <v>74</v>
      </c>
      <c r="AQ180" t="s">
        <v>74</v>
      </c>
      <c r="AR180" t="s">
        <v>2673</v>
      </c>
      <c r="AS180" t="s">
        <v>2674</v>
      </c>
      <c r="AT180" t="s">
        <v>74</v>
      </c>
      <c r="AU180">
        <v>1999</v>
      </c>
      <c r="AV180">
        <v>18</v>
      </c>
      <c r="AW180">
        <v>2</v>
      </c>
      <c r="AX180" t="s">
        <v>74</v>
      </c>
      <c r="AY180" t="s">
        <v>74</v>
      </c>
      <c r="AZ180" t="s">
        <v>74</v>
      </c>
      <c r="BA180" t="s">
        <v>74</v>
      </c>
      <c r="BB180">
        <v>143</v>
      </c>
      <c r="BC180">
        <v>150</v>
      </c>
      <c r="BD180" t="s">
        <v>74</v>
      </c>
      <c r="BE180" t="s">
        <v>2716</v>
      </c>
      <c r="BF180" t="str">
        <f>HYPERLINK("http://dx.doi.org/10.1111/j.1751-8369.1999.tb00286.x","http://dx.doi.org/10.1111/j.1751-8369.1999.tb00286.x")</f>
        <v>http://dx.doi.org/10.1111/j.1751-8369.1999.tb00286.x</v>
      </c>
      <c r="BG180" t="s">
        <v>74</v>
      </c>
      <c r="BH180" t="s">
        <v>74</v>
      </c>
      <c r="BI180">
        <v>8</v>
      </c>
      <c r="BJ180" t="s">
        <v>2676</v>
      </c>
      <c r="BK180" t="s">
        <v>235</v>
      </c>
      <c r="BL180" t="s">
        <v>2677</v>
      </c>
      <c r="BM180" t="s">
        <v>2678</v>
      </c>
      <c r="BN180" t="s">
        <v>74</v>
      </c>
      <c r="BO180" t="s">
        <v>1089</v>
      </c>
      <c r="BP180" t="s">
        <v>74</v>
      </c>
      <c r="BQ180" t="s">
        <v>74</v>
      </c>
      <c r="BR180" t="s">
        <v>98</v>
      </c>
      <c r="BS180" t="s">
        <v>2717</v>
      </c>
      <c r="BT180" t="str">
        <f>HYPERLINK("https%3A%2F%2Fwww.webofscience.com%2Fwos%2Fwoscc%2Ffull-record%2FWOS:000085228300007","View Full Record in Web of Science")</f>
        <v>View Full Record in Web of Science</v>
      </c>
    </row>
    <row r="181" spans="1:72" x14ac:dyDescent="0.15">
      <c r="A181" t="s">
        <v>72</v>
      </c>
      <c r="B181" t="s">
        <v>2718</v>
      </c>
      <c r="C181" t="s">
        <v>74</v>
      </c>
      <c r="D181" t="s">
        <v>74</v>
      </c>
      <c r="E181" t="s">
        <v>74</v>
      </c>
      <c r="F181" t="s">
        <v>2718</v>
      </c>
      <c r="G181" t="s">
        <v>74</v>
      </c>
      <c r="H181" t="s">
        <v>74</v>
      </c>
      <c r="I181" t="s">
        <v>2719</v>
      </c>
      <c r="J181" t="s">
        <v>2666</v>
      </c>
      <c r="K181" t="s">
        <v>74</v>
      </c>
      <c r="L181" t="s">
        <v>74</v>
      </c>
      <c r="M181" t="s">
        <v>77</v>
      </c>
      <c r="N181" t="s">
        <v>123</v>
      </c>
      <c r="O181" t="s">
        <v>2683</v>
      </c>
      <c r="P181" t="s">
        <v>2684</v>
      </c>
      <c r="Q181" t="s">
        <v>2685</v>
      </c>
      <c r="R181" t="s">
        <v>74</v>
      </c>
      <c r="S181" t="s">
        <v>74</v>
      </c>
      <c r="T181" t="s">
        <v>74</v>
      </c>
      <c r="U181" t="s">
        <v>2720</v>
      </c>
      <c r="V181" t="s">
        <v>2721</v>
      </c>
      <c r="W181" t="s">
        <v>2722</v>
      </c>
      <c r="X181" t="s">
        <v>2723</v>
      </c>
      <c r="Y181" t="s">
        <v>2724</v>
      </c>
      <c r="Z181" t="s">
        <v>74</v>
      </c>
      <c r="AA181" t="s">
        <v>2725</v>
      </c>
      <c r="AB181" t="s">
        <v>2726</v>
      </c>
      <c r="AC181" t="s">
        <v>74</v>
      </c>
      <c r="AD181" t="s">
        <v>74</v>
      </c>
      <c r="AE181" t="s">
        <v>74</v>
      </c>
      <c r="AF181" t="s">
        <v>74</v>
      </c>
      <c r="AG181">
        <v>22</v>
      </c>
      <c r="AH181">
        <v>88</v>
      </c>
      <c r="AI181">
        <v>93</v>
      </c>
      <c r="AJ181">
        <v>1</v>
      </c>
      <c r="AK181">
        <v>21</v>
      </c>
      <c r="AL181" t="s">
        <v>1201</v>
      </c>
      <c r="AM181" t="s">
        <v>1202</v>
      </c>
      <c r="AN181" t="s">
        <v>1203</v>
      </c>
      <c r="AO181" t="s">
        <v>2672</v>
      </c>
      <c r="AP181" t="s">
        <v>2727</v>
      </c>
      <c r="AQ181" t="s">
        <v>74</v>
      </c>
      <c r="AR181" t="s">
        <v>2673</v>
      </c>
      <c r="AS181" t="s">
        <v>2674</v>
      </c>
      <c r="AT181" t="s">
        <v>74</v>
      </c>
      <c r="AU181">
        <v>1999</v>
      </c>
      <c r="AV181">
        <v>18</v>
      </c>
      <c r="AW181">
        <v>2</v>
      </c>
      <c r="AX181" t="s">
        <v>74</v>
      </c>
      <c r="AY181" t="s">
        <v>74</v>
      </c>
      <c r="AZ181" t="s">
        <v>74</v>
      </c>
      <c r="BA181" t="s">
        <v>74</v>
      </c>
      <c r="BB181">
        <v>151</v>
      </c>
      <c r="BC181">
        <v>157</v>
      </c>
      <c r="BD181" t="s">
        <v>74</v>
      </c>
      <c r="BE181" t="s">
        <v>2728</v>
      </c>
      <c r="BF181" t="str">
        <f>HYPERLINK("http://dx.doi.org/10.1111/j.1751-8369.1999.tb00287.x","http://dx.doi.org/10.1111/j.1751-8369.1999.tb00287.x")</f>
        <v>http://dx.doi.org/10.1111/j.1751-8369.1999.tb00287.x</v>
      </c>
      <c r="BG181" t="s">
        <v>74</v>
      </c>
      <c r="BH181" t="s">
        <v>74</v>
      </c>
      <c r="BI181">
        <v>7</v>
      </c>
      <c r="BJ181" t="s">
        <v>2676</v>
      </c>
      <c r="BK181" t="s">
        <v>144</v>
      </c>
      <c r="BL181" t="s">
        <v>2677</v>
      </c>
      <c r="BM181" t="s">
        <v>2678</v>
      </c>
      <c r="BN181" t="s">
        <v>74</v>
      </c>
      <c r="BO181" t="s">
        <v>74</v>
      </c>
      <c r="BP181" t="s">
        <v>74</v>
      </c>
      <c r="BQ181" t="s">
        <v>74</v>
      </c>
      <c r="BR181" t="s">
        <v>98</v>
      </c>
      <c r="BS181" t="s">
        <v>2729</v>
      </c>
      <c r="BT181" t="str">
        <f>HYPERLINK("https%3A%2F%2Fwww.webofscience.com%2Fwos%2Fwoscc%2Ffull-record%2FWOS:000085228300008","View Full Record in Web of Science")</f>
        <v>View Full Record in Web of Science</v>
      </c>
    </row>
    <row r="182" spans="1:72" x14ac:dyDescent="0.15">
      <c r="A182" t="s">
        <v>72</v>
      </c>
      <c r="B182" t="s">
        <v>2730</v>
      </c>
      <c r="C182" t="s">
        <v>74</v>
      </c>
      <c r="D182" t="s">
        <v>74</v>
      </c>
      <c r="E182" t="s">
        <v>74</v>
      </c>
      <c r="F182" t="s">
        <v>2730</v>
      </c>
      <c r="G182" t="s">
        <v>74</v>
      </c>
      <c r="H182" t="s">
        <v>74</v>
      </c>
      <c r="I182" t="s">
        <v>2731</v>
      </c>
      <c r="J182" t="s">
        <v>2666</v>
      </c>
      <c r="K182" t="s">
        <v>74</v>
      </c>
      <c r="L182" t="s">
        <v>74</v>
      </c>
      <c r="M182" t="s">
        <v>77</v>
      </c>
      <c r="N182" t="s">
        <v>123</v>
      </c>
      <c r="O182" t="s">
        <v>2683</v>
      </c>
      <c r="P182" t="s">
        <v>2684</v>
      </c>
      <c r="Q182" t="s">
        <v>2685</v>
      </c>
      <c r="R182" t="s">
        <v>74</v>
      </c>
      <c r="S182" t="s">
        <v>74</v>
      </c>
      <c r="T182" t="s">
        <v>74</v>
      </c>
      <c r="U182" t="s">
        <v>2732</v>
      </c>
      <c r="V182" t="s">
        <v>2733</v>
      </c>
      <c r="W182" t="s">
        <v>1791</v>
      </c>
      <c r="X182" t="s">
        <v>509</v>
      </c>
      <c r="Y182" t="s">
        <v>2734</v>
      </c>
      <c r="Z182" t="s">
        <v>74</v>
      </c>
      <c r="AA182" t="s">
        <v>74</v>
      </c>
      <c r="AB182" t="s">
        <v>74</v>
      </c>
      <c r="AC182" t="s">
        <v>74</v>
      </c>
      <c r="AD182" t="s">
        <v>74</v>
      </c>
      <c r="AE182" t="s">
        <v>74</v>
      </c>
      <c r="AF182" t="s">
        <v>74</v>
      </c>
      <c r="AG182">
        <v>14</v>
      </c>
      <c r="AH182">
        <v>3</v>
      </c>
      <c r="AI182">
        <v>3</v>
      </c>
      <c r="AJ182">
        <v>0</v>
      </c>
      <c r="AK182">
        <v>2</v>
      </c>
      <c r="AL182" t="s">
        <v>2670</v>
      </c>
      <c r="AM182" t="s">
        <v>1082</v>
      </c>
      <c r="AN182" t="s">
        <v>2671</v>
      </c>
      <c r="AO182" t="s">
        <v>2672</v>
      </c>
      <c r="AP182" t="s">
        <v>74</v>
      </c>
      <c r="AQ182" t="s">
        <v>74</v>
      </c>
      <c r="AR182" t="s">
        <v>2673</v>
      </c>
      <c r="AS182" t="s">
        <v>2674</v>
      </c>
      <c r="AT182" t="s">
        <v>74</v>
      </c>
      <c r="AU182">
        <v>1999</v>
      </c>
      <c r="AV182">
        <v>18</v>
      </c>
      <c r="AW182">
        <v>2</v>
      </c>
      <c r="AX182" t="s">
        <v>74</v>
      </c>
      <c r="AY182" t="s">
        <v>74</v>
      </c>
      <c r="AZ182" t="s">
        <v>74</v>
      </c>
      <c r="BA182" t="s">
        <v>74</v>
      </c>
      <c r="BB182">
        <v>159</v>
      </c>
      <c r="BC182">
        <v>166</v>
      </c>
      <c r="BD182" t="s">
        <v>74</v>
      </c>
      <c r="BE182" t="s">
        <v>2735</v>
      </c>
      <c r="BF182" t="str">
        <f>HYPERLINK("http://dx.doi.org/10.1111/j.1751-8369.1999.tb00288.x","http://dx.doi.org/10.1111/j.1751-8369.1999.tb00288.x")</f>
        <v>http://dx.doi.org/10.1111/j.1751-8369.1999.tb00288.x</v>
      </c>
      <c r="BG182" t="s">
        <v>74</v>
      </c>
      <c r="BH182" t="s">
        <v>74</v>
      </c>
      <c r="BI182">
        <v>8</v>
      </c>
      <c r="BJ182" t="s">
        <v>2676</v>
      </c>
      <c r="BK182" t="s">
        <v>235</v>
      </c>
      <c r="BL182" t="s">
        <v>2677</v>
      </c>
      <c r="BM182" t="s">
        <v>2678</v>
      </c>
      <c r="BN182" t="s">
        <v>74</v>
      </c>
      <c r="BO182" t="s">
        <v>1429</v>
      </c>
      <c r="BP182" t="s">
        <v>74</v>
      </c>
      <c r="BQ182" t="s">
        <v>74</v>
      </c>
      <c r="BR182" t="s">
        <v>98</v>
      </c>
      <c r="BS182" t="s">
        <v>2736</v>
      </c>
      <c r="BT182" t="str">
        <f>HYPERLINK("https%3A%2F%2Fwww.webofscience.com%2Fwos%2Fwoscc%2Ffull-record%2FWOS:000085228300009","View Full Record in Web of Science")</f>
        <v>View Full Record in Web of Science</v>
      </c>
    </row>
    <row r="183" spans="1:72" x14ac:dyDescent="0.15">
      <c r="A183" t="s">
        <v>72</v>
      </c>
      <c r="B183" t="s">
        <v>2737</v>
      </c>
      <c r="C183" t="s">
        <v>74</v>
      </c>
      <c r="D183" t="s">
        <v>74</v>
      </c>
      <c r="E183" t="s">
        <v>74</v>
      </c>
      <c r="F183" t="s">
        <v>2737</v>
      </c>
      <c r="G183" t="s">
        <v>74</v>
      </c>
      <c r="H183" t="s">
        <v>74</v>
      </c>
      <c r="I183" t="s">
        <v>2738</v>
      </c>
      <c r="J183" t="s">
        <v>2666</v>
      </c>
      <c r="K183" t="s">
        <v>74</v>
      </c>
      <c r="L183" t="s">
        <v>74</v>
      </c>
      <c r="M183" t="s">
        <v>77</v>
      </c>
      <c r="N183" t="s">
        <v>123</v>
      </c>
      <c r="O183" t="s">
        <v>2683</v>
      </c>
      <c r="P183" t="s">
        <v>2684</v>
      </c>
      <c r="Q183" t="s">
        <v>2685</v>
      </c>
      <c r="R183" t="s">
        <v>74</v>
      </c>
      <c r="S183" t="s">
        <v>74</v>
      </c>
      <c r="T183" t="s">
        <v>74</v>
      </c>
      <c r="U183" t="s">
        <v>74</v>
      </c>
      <c r="V183" t="s">
        <v>2739</v>
      </c>
      <c r="W183" t="s">
        <v>2740</v>
      </c>
      <c r="X183" t="s">
        <v>2741</v>
      </c>
      <c r="Y183" t="s">
        <v>2742</v>
      </c>
      <c r="Z183" t="s">
        <v>74</v>
      </c>
      <c r="AA183" t="s">
        <v>74</v>
      </c>
      <c r="AB183" t="s">
        <v>74</v>
      </c>
      <c r="AC183" t="s">
        <v>74</v>
      </c>
      <c r="AD183" t="s">
        <v>74</v>
      </c>
      <c r="AE183" t="s">
        <v>74</v>
      </c>
      <c r="AF183" t="s">
        <v>74</v>
      </c>
      <c r="AG183">
        <v>9</v>
      </c>
      <c r="AH183">
        <v>11</v>
      </c>
      <c r="AI183">
        <v>11</v>
      </c>
      <c r="AJ183">
        <v>2</v>
      </c>
      <c r="AK183">
        <v>4</v>
      </c>
      <c r="AL183" t="s">
        <v>2670</v>
      </c>
      <c r="AM183" t="s">
        <v>1082</v>
      </c>
      <c r="AN183" t="s">
        <v>2671</v>
      </c>
      <c r="AO183" t="s">
        <v>2672</v>
      </c>
      <c r="AP183" t="s">
        <v>74</v>
      </c>
      <c r="AQ183" t="s">
        <v>74</v>
      </c>
      <c r="AR183" t="s">
        <v>2673</v>
      </c>
      <c r="AS183" t="s">
        <v>2674</v>
      </c>
      <c r="AT183" t="s">
        <v>74</v>
      </c>
      <c r="AU183">
        <v>1999</v>
      </c>
      <c r="AV183">
        <v>18</v>
      </c>
      <c r="AW183">
        <v>2</v>
      </c>
      <c r="AX183" t="s">
        <v>74</v>
      </c>
      <c r="AY183" t="s">
        <v>74</v>
      </c>
      <c r="AZ183" t="s">
        <v>74</v>
      </c>
      <c r="BA183" t="s">
        <v>74</v>
      </c>
      <c r="BB183">
        <v>167</v>
      </c>
      <c r="BC183">
        <v>173</v>
      </c>
      <c r="BD183" t="s">
        <v>74</v>
      </c>
      <c r="BE183" t="s">
        <v>2743</v>
      </c>
      <c r="BF183" t="str">
        <f>HYPERLINK("http://dx.doi.org/10.1111/j.1751-8369.1999.tb00289.x","http://dx.doi.org/10.1111/j.1751-8369.1999.tb00289.x")</f>
        <v>http://dx.doi.org/10.1111/j.1751-8369.1999.tb00289.x</v>
      </c>
      <c r="BG183" t="s">
        <v>74</v>
      </c>
      <c r="BH183" t="s">
        <v>74</v>
      </c>
      <c r="BI183">
        <v>7</v>
      </c>
      <c r="BJ183" t="s">
        <v>2676</v>
      </c>
      <c r="BK183" t="s">
        <v>235</v>
      </c>
      <c r="BL183" t="s">
        <v>2677</v>
      </c>
      <c r="BM183" t="s">
        <v>2678</v>
      </c>
      <c r="BN183" t="s">
        <v>74</v>
      </c>
      <c r="BO183" t="s">
        <v>74</v>
      </c>
      <c r="BP183" t="s">
        <v>74</v>
      </c>
      <c r="BQ183" t="s">
        <v>74</v>
      </c>
      <c r="BR183" t="s">
        <v>98</v>
      </c>
      <c r="BS183" t="s">
        <v>2744</v>
      </c>
      <c r="BT183" t="str">
        <f>HYPERLINK("https%3A%2F%2Fwww.webofscience.com%2Fwos%2Fwoscc%2Ffull-record%2FWOS:000085228300010","View Full Record in Web of Science")</f>
        <v>View Full Record in Web of Science</v>
      </c>
    </row>
    <row r="184" spans="1:72" x14ac:dyDescent="0.15">
      <c r="A184" t="s">
        <v>72</v>
      </c>
      <c r="B184" t="s">
        <v>2745</v>
      </c>
      <c r="C184" t="s">
        <v>74</v>
      </c>
      <c r="D184" t="s">
        <v>74</v>
      </c>
      <c r="E184" t="s">
        <v>74</v>
      </c>
      <c r="F184" t="s">
        <v>2745</v>
      </c>
      <c r="G184" t="s">
        <v>74</v>
      </c>
      <c r="H184" t="s">
        <v>74</v>
      </c>
      <c r="I184" t="s">
        <v>2746</v>
      </c>
      <c r="J184" t="s">
        <v>2666</v>
      </c>
      <c r="K184" t="s">
        <v>74</v>
      </c>
      <c r="L184" t="s">
        <v>74</v>
      </c>
      <c r="M184" t="s">
        <v>77</v>
      </c>
      <c r="N184" t="s">
        <v>123</v>
      </c>
      <c r="O184" t="s">
        <v>2683</v>
      </c>
      <c r="P184" t="s">
        <v>2684</v>
      </c>
      <c r="Q184" t="s">
        <v>2685</v>
      </c>
      <c r="R184" t="s">
        <v>74</v>
      </c>
      <c r="S184" t="s">
        <v>74</v>
      </c>
      <c r="T184" t="s">
        <v>74</v>
      </c>
      <c r="U184" t="s">
        <v>2747</v>
      </c>
      <c r="V184" t="s">
        <v>2748</v>
      </c>
      <c r="W184" t="s">
        <v>2693</v>
      </c>
      <c r="X184" t="s">
        <v>2694</v>
      </c>
      <c r="Y184" t="s">
        <v>2749</v>
      </c>
      <c r="Z184" t="s">
        <v>74</v>
      </c>
      <c r="AA184" t="s">
        <v>74</v>
      </c>
      <c r="AB184" t="s">
        <v>2750</v>
      </c>
      <c r="AC184" t="s">
        <v>74</v>
      </c>
      <c r="AD184" t="s">
        <v>74</v>
      </c>
      <c r="AE184" t="s">
        <v>74</v>
      </c>
      <c r="AF184" t="s">
        <v>74</v>
      </c>
      <c r="AG184">
        <v>20</v>
      </c>
      <c r="AH184">
        <v>18</v>
      </c>
      <c r="AI184">
        <v>19</v>
      </c>
      <c r="AJ184">
        <v>0</v>
      </c>
      <c r="AK184">
        <v>2</v>
      </c>
      <c r="AL184" t="s">
        <v>2670</v>
      </c>
      <c r="AM184" t="s">
        <v>1082</v>
      </c>
      <c r="AN184" t="s">
        <v>2671</v>
      </c>
      <c r="AO184" t="s">
        <v>2672</v>
      </c>
      <c r="AP184" t="s">
        <v>74</v>
      </c>
      <c r="AQ184" t="s">
        <v>74</v>
      </c>
      <c r="AR184" t="s">
        <v>2673</v>
      </c>
      <c r="AS184" t="s">
        <v>2674</v>
      </c>
      <c r="AT184" t="s">
        <v>74</v>
      </c>
      <c r="AU184">
        <v>1999</v>
      </c>
      <c r="AV184">
        <v>18</v>
      </c>
      <c r="AW184">
        <v>2</v>
      </c>
      <c r="AX184" t="s">
        <v>74</v>
      </c>
      <c r="AY184" t="s">
        <v>74</v>
      </c>
      <c r="AZ184" t="s">
        <v>74</v>
      </c>
      <c r="BA184" t="s">
        <v>74</v>
      </c>
      <c r="BB184">
        <v>175</v>
      </c>
      <c r="BC184">
        <v>182</v>
      </c>
      <c r="BD184" t="s">
        <v>74</v>
      </c>
      <c r="BE184" t="s">
        <v>2751</v>
      </c>
      <c r="BF184" t="str">
        <f>HYPERLINK("http://dx.doi.org/10.1111/j.1751-8369.1999.tb00290.x","http://dx.doi.org/10.1111/j.1751-8369.1999.tb00290.x")</f>
        <v>http://dx.doi.org/10.1111/j.1751-8369.1999.tb00290.x</v>
      </c>
      <c r="BG184" t="s">
        <v>74</v>
      </c>
      <c r="BH184" t="s">
        <v>74</v>
      </c>
      <c r="BI184">
        <v>8</v>
      </c>
      <c r="BJ184" t="s">
        <v>2676</v>
      </c>
      <c r="BK184" t="s">
        <v>235</v>
      </c>
      <c r="BL184" t="s">
        <v>2677</v>
      </c>
      <c r="BM184" t="s">
        <v>2678</v>
      </c>
      <c r="BN184" t="s">
        <v>74</v>
      </c>
      <c r="BO184" t="s">
        <v>1429</v>
      </c>
      <c r="BP184" t="s">
        <v>74</v>
      </c>
      <c r="BQ184" t="s">
        <v>74</v>
      </c>
      <c r="BR184" t="s">
        <v>98</v>
      </c>
      <c r="BS184" t="s">
        <v>2752</v>
      </c>
      <c r="BT184" t="str">
        <f>HYPERLINK("https%3A%2F%2Fwww.webofscience.com%2Fwos%2Fwoscc%2Ffull-record%2FWOS:000085228300011","View Full Record in Web of Science")</f>
        <v>View Full Record in Web of Science</v>
      </c>
    </row>
    <row r="185" spans="1:72" x14ac:dyDescent="0.15">
      <c r="A185" t="s">
        <v>72</v>
      </c>
      <c r="B185" t="s">
        <v>2753</v>
      </c>
      <c r="C185" t="s">
        <v>74</v>
      </c>
      <c r="D185" t="s">
        <v>74</v>
      </c>
      <c r="E185" t="s">
        <v>74</v>
      </c>
      <c r="F185" t="s">
        <v>2753</v>
      </c>
      <c r="G185" t="s">
        <v>74</v>
      </c>
      <c r="H185" t="s">
        <v>74</v>
      </c>
      <c r="I185" t="s">
        <v>2754</v>
      </c>
      <c r="J185" t="s">
        <v>2666</v>
      </c>
      <c r="K185" t="s">
        <v>74</v>
      </c>
      <c r="L185" t="s">
        <v>74</v>
      </c>
      <c r="M185" t="s">
        <v>77</v>
      </c>
      <c r="N185" t="s">
        <v>123</v>
      </c>
      <c r="O185" t="s">
        <v>2683</v>
      </c>
      <c r="P185" t="s">
        <v>2684</v>
      </c>
      <c r="Q185" t="s">
        <v>2685</v>
      </c>
      <c r="R185" t="s">
        <v>74</v>
      </c>
      <c r="S185" t="s">
        <v>74</v>
      </c>
      <c r="T185" t="s">
        <v>74</v>
      </c>
      <c r="U185" t="s">
        <v>74</v>
      </c>
      <c r="V185" t="s">
        <v>2755</v>
      </c>
      <c r="W185" t="s">
        <v>2756</v>
      </c>
      <c r="X185" t="s">
        <v>2757</v>
      </c>
      <c r="Y185" t="s">
        <v>2758</v>
      </c>
      <c r="Z185" t="s">
        <v>74</v>
      </c>
      <c r="AA185" t="s">
        <v>74</v>
      </c>
      <c r="AB185" t="s">
        <v>74</v>
      </c>
      <c r="AC185" t="s">
        <v>74</v>
      </c>
      <c r="AD185" t="s">
        <v>74</v>
      </c>
      <c r="AE185" t="s">
        <v>74</v>
      </c>
      <c r="AF185" t="s">
        <v>74</v>
      </c>
      <c r="AG185">
        <v>9</v>
      </c>
      <c r="AH185">
        <v>26</v>
      </c>
      <c r="AI185">
        <v>31</v>
      </c>
      <c r="AJ185">
        <v>0</v>
      </c>
      <c r="AK185">
        <v>3</v>
      </c>
      <c r="AL185" t="s">
        <v>2670</v>
      </c>
      <c r="AM185" t="s">
        <v>1082</v>
      </c>
      <c r="AN185" t="s">
        <v>2671</v>
      </c>
      <c r="AO185" t="s">
        <v>2672</v>
      </c>
      <c r="AP185" t="s">
        <v>74</v>
      </c>
      <c r="AQ185" t="s">
        <v>74</v>
      </c>
      <c r="AR185" t="s">
        <v>2673</v>
      </c>
      <c r="AS185" t="s">
        <v>2674</v>
      </c>
      <c r="AT185" t="s">
        <v>74</v>
      </c>
      <c r="AU185">
        <v>1999</v>
      </c>
      <c r="AV185">
        <v>18</v>
      </c>
      <c r="AW185">
        <v>2</v>
      </c>
      <c r="AX185" t="s">
        <v>74</v>
      </c>
      <c r="AY185" t="s">
        <v>74</v>
      </c>
      <c r="AZ185" t="s">
        <v>74</v>
      </c>
      <c r="BA185" t="s">
        <v>74</v>
      </c>
      <c r="BB185">
        <v>183</v>
      </c>
      <c r="BC185">
        <v>188</v>
      </c>
      <c r="BD185" t="s">
        <v>74</v>
      </c>
      <c r="BE185" t="s">
        <v>2759</v>
      </c>
      <c r="BF185" t="str">
        <f>HYPERLINK("http://dx.doi.org/10.1111/j.1751-8369.1999.tb00291.x","http://dx.doi.org/10.1111/j.1751-8369.1999.tb00291.x")</f>
        <v>http://dx.doi.org/10.1111/j.1751-8369.1999.tb00291.x</v>
      </c>
      <c r="BG185" t="s">
        <v>74</v>
      </c>
      <c r="BH185" t="s">
        <v>74</v>
      </c>
      <c r="BI185">
        <v>6</v>
      </c>
      <c r="BJ185" t="s">
        <v>2676</v>
      </c>
      <c r="BK185" t="s">
        <v>235</v>
      </c>
      <c r="BL185" t="s">
        <v>2677</v>
      </c>
      <c r="BM185" t="s">
        <v>2678</v>
      </c>
      <c r="BN185" t="s">
        <v>74</v>
      </c>
      <c r="BO185" t="s">
        <v>1089</v>
      </c>
      <c r="BP185" t="s">
        <v>74</v>
      </c>
      <c r="BQ185" t="s">
        <v>74</v>
      </c>
      <c r="BR185" t="s">
        <v>98</v>
      </c>
      <c r="BS185" t="s">
        <v>2760</v>
      </c>
      <c r="BT185" t="str">
        <f>HYPERLINK("https%3A%2F%2Fwww.webofscience.com%2Fwos%2Fwoscc%2Ffull-record%2FWOS:000085228300012","View Full Record in Web of Science")</f>
        <v>View Full Record in Web of Science</v>
      </c>
    </row>
    <row r="186" spans="1:72" x14ac:dyDescent="0.15">
      <c r="A186" t="s">
        <v>72</v>
      </c>
      <c r="B186" t="s">
        <v>2761</v>
      </c>
      <c r="C186" t="s">
        <v>74</v>
      </c>
      <c r="D186" t="s">
        <v>74</v>
      </c>
      <c r="E186" t="s">
        <v>74</v>
      </c>
      <c r="F186" t="s">
        <v>2761</v>
      </c>
      <c r="G186" t="s">
        <v>74</v>
      </c>
      <c r="H186" t="s">
        <v>74</v>
      </c>
      <c r="I186" t="s">
        <v>2762</v>
      </c>
      <c r="J186" t="s">
        <v>2666</v>
      </c>
      <c r="K186" t="s">
        <v>74</v>
      </c>
      <c r="L186" t="s">
        <v>74</v>
      </c>
      <c r="M186" t="s">
        <v>77</v>
      </c>
      <c r="N186" t="s">
        <v>123</v>
      </c>
      <c r="O186" t="s">
        <v>2683</v>
      </c>
      <c r="P186" t="s">
        <v>2684</v>
      </c>
      <c r="Q186" t="s">
        <v>2685</v>
      </c>
      <c r="R186" t="s">
        <v>74</v>
      </c>
      <c r="S186" t="s">
        <v>74</v>
      </c>
      <c r="T186" t="s">
        <v>74</v>
      </c>
      <c r="U186" t="s">
        <v>2763</v>
      </c>
      <c r="V186" t="s">
        <v>2764</v>
      </c>
      <c r="W186" t="s">
        <v>2765</v>
      </c>
      <c r="X186" t="s">
        <v>2766</v>
      </c>
      <c r="Y186" t="s">
        <v>2767</v>
      </c>
      <c r="Z186" t="s">
        <v>74</v>
      </c>
      <c r="AA186" t="s">
        <v>2768</v>
      </c>
      <c r="AB186" t="s">
        <v>74</v>
      </c>
      <c r="AC186" t="s">
        <v>74</v>
      </c>
      <c r="AD186" t="s">
        <v>74</v>
      </c>
      <c r="AE186" t="s">
        <v>74</v>
      </c>
      <c r="AF186" t="s">
        <v>74</v>
      </c>
      <c r="AG186">
        <v>20</v>
      </c>
      <c r="AH186">
        <v>28</v>
      </c>
      <c r="AI186">
        <v>28</v>
      </c>
      <c r="AJ186">
        <v>0</v>
      </c>
      <c r="AK186">
        <v>22</v>
      </c>
      <c r="AL186" t="s">
        <v>2670</v>
      </c>
      <c r="AM186" t="s">
        <v>1082</v>
      </c>
      <c r="AN186" t="s">
        <v>2671</v>
      </c>
      <c r="AO186" t="s">
        <v>2672</v>
      </c>
      <c r="AP186" t="s">
        <v>74</v>
      </c>
      <c r="AQ186" t="s">
        <v>74</v>
      </c>
      <c r="AR186" t="s">
        <v>2673</v>
      </c>
      <c r="AS186" t="s">
        <v>2674</v>
      </c>
      <c r="AT186" t="s">
        <v>74</v>
      </c>
      <c r="AU186">
        <v>1999</v>
      </c>
      <c r="AV186">
        <v>18</v>
      </c>
      <c r="AW186">
        <v>2</v>
      </c>
      <c r="AX186" t="s">
        <v>74</v>
      </c>
      <c r="AY186" t="s">
        <v>74</v>
      </c>
      <c r="AZ186" t="s">
        <v>74</v>
      </c>
      <c r="BA186" t="s">
        <v>74</v>
      </c>
      <c r="BB186">
        <v>191</v>
      </c>
      <c r="BC186">
        <v>197</v>
      </c>
      <c r="BD186" t="s">
        <v>74</v>
      </c>
      <c r="BE186" t="s">
        <v>2769</v>
      </c>
      <c r="BF186" t="str">
        <f>HYPERLINK("http://dx.doi.org/10.1111/j.1751-8369.1999.tb00293.x","http://dx.doi.org/10.1111/j.1751-8369.1999.tb00293.x")</f>
        <v>http://dx.doi.org/10.1111/j.1751-8369.1999.tb00293.x</v>
      </c>
      <c r="BG186" t="s">
        <v>74</v>
      </c>
      <c r="BH186" t="s">
        <v>74</v>
      </c>
      <c r="BI186">
        <v>7</v>
      </c>
      <c r="BJ186" t="s">
        <v>2676</v>
      </c>
      <c r="BK186" t="s">
        <v>235</v>
      </c>
      <c r="BL186" t="s">
        <v>2677</v>
      </c>
      <c r="BM186" t="s">
        <v>2678</v>
      </c>
      <c r="BN186" t="s">
        <v>74</v>
      </c>
      <c r="BO186" t="s">
        <v>74</v>
      </c>
      <c r="BP186" t="s">
        <v>74</v>
      </c>
      <c r="BQ186" t="s">
        <v>74</v>
      </c>
      <c r="BR186" t="s">
        <v>98</v>
      </c>
      <c r="BS186" t="s">
        <v>2770</v>
      </c>
      <c r="BT186" t="str">
        <f>HYPERLINK("https%3A%2F%2Fwww.webofscience.com%2Fwos%2Fwoscc%2Ffull-record%2FWOS:000085228300014","View Full Record in Web of Science")</f>
        <v>View Full Record in Web of Science</v>
      </c>
    </row>
    <row r="187" spans="1:72" x14ac:dyDescent="0.15">
      <c r="A187" t="s">
        <v>72</v>
      </c>
      <c r="B187" t="s">
        <v>2771</v>
      </c>
      <c r="C187" t="s">
        <v>74</v>
      </c>
      <c r="D187" t="s">
        <v>74</v>
      </c>
      <c r="E187" t="s">
        <v>74</v>
      </c>
      <c r="F187" t="s">
        <v>2771</v>
      </c>
      <c r="G187" t="s">
        <v>74</v>
      </c>
      <c r="H187" t="s">
        <v>74</v>
      </c>
      <c r="I187" t="s">
        <v>2772</v>
      </c>
      <c r="J187" t="s">
        <v>2666</v>
      </c>
      <c r="K187" t="s">
        <v>74</v>
      </c>
      <c r="L187" t="s">
        <v>74</v>
      </c>
      <c r="M187" t="s">
        <v>77</v>
      </c>
      <c r="N187" t="s">
        <v>123</v>
      </c>
      <c r="O187" t="s">
        <v>2683</v>
      </c>
      <c r="P187" t="s">
        <v>2684</v>
      </c>
      <c r="Q187" t="s">
        <v>2685</v>
      </c>
      <c r="R187" t="s">
        <v>74</v>
      </c>
      <c r="S187" t="s">
        <v>74</v>
      </c>
      <c r="T187" t="s">
        <v>74</v>
      </c>
      <c r="U187" t="s">
        <v>2773</v>
      </c>
      <c r="V187" t="s">
        <v>2774</v>
      </c>
      <c r="W187" t="s">
        <v>2775</v>
      </c>
      <c r="X187" t="s">
        <v>2776</v>
      </c>
      <c r="Y187" t="s">
        <v>2777</v>
      </c>
      <c r="Z187" t="s">
        <v>74</v>
      </c>
      <c r="AA187" t="s">
        <v>74</v>
      </c>
      <c r="AB187" t="s">
        <v>2778</v>
      </c>
      <c r="AC187" t="s">
        <v>74</v>
      </c>
      <c r="AD187" t="s">
        <v>74</v>
      </c>
      <c r="AE187" t="s">
        <v>74</v>
      </c>
      <c r="AF187" t="s">
        <v>74</v>
      </c>
      <c r="AG187">
        <v>31</v>
      </c>
      <c r="AH187">
        <v>14</v>
      </c>
      <c r="AI187">
        <v>18</v>
      </c>
      <c r="AJ187">
        <v>5</v>
      </c>
      <c r="AK187">
        <v>18</v>
      </c>
      <c r="AL187" t="s">
        <v>2670</v>
      </c>
      <c r="AM187" t="s">
        <v>2779</v>
      </c>
      <c r="AN187" t="s">
        <v>2780</v>
      </c>
      <c r="AO187" t="s">
        <v>2672</v>
      </c>
      <c r="AP187" t="s">
        <v>2727</v>
      </c>
      <c r="AQ187" t="s">
        <v>74</v>
      </c>
      <c r="AR187" t="s">
        <v>2673</v>
      </c>
      <c r="AS187" t="s">
        <v>2674</v>
      </c>
      <c r="AT187" t="s">
        <v>74</v>
      </c>
      <c r="AU187">
        <v>1999</v>
      </c>
      <c r="AV187">
        <v>18</v>
      </c>
      <c r="AW187">
        <v>2</v>
      </c>
      <c r="AX187" t="s">
        <v>74</v>
      </c>
      <c r="AY187" t="s">
        <v>74</v>
      </c>
      <c r="AZ187" t="s">
        <v>74</v>
      </c>
      <c r="BA187" t="s">
        <v>74</v>
      </c>
      <c r="BB187">
        <v>199</v>
      </c>
      <c r="BC187">
        <v>206</v>
      </c>
      <c r="BD187" t="s">
        <v>74</v>
      </c>
      <c r="BE187" t="s">
        <v>2781</v>
      </c>
      <c r="BF187" t="str">
        <f>HYPERLINK("http://dx.doi.org/10.1111/j.1751-8369.1999.tb00294.x","http://dx.doi.org/10.1111/j.1751-8369.1999.tb00294.x")</f>
        <v>http://dx.doi.org/10.1111/j.1751-8369.1999.tb00294.x</v>
      </c>
      <c r="BG187" t="s">
        <v>74</v>
      </c>
      <c r="BH187" t="s">
        <v>74</v>
      </c>
      <c r="BI187">
        <v>8</v>
      </c>
      <c r="BJ187" t="s">
        <v>2676</v>
      </c>
      <c r="BK187" t="s">
        <v>144</v>
      </c>
      <c r="BL187" t="s">
        <v>2677</v>
      </c>
      <c r="BM187" t="s">
        <v>2678</v>
      </c>
      <c r="BN187" t="s">
        <v>74</v>
      </c>
      <c r="BO187" t="s">
        <v>1089</v>
      </c>
      <c r="BP187" t="s">
        <v>74</v>
      </c>
      <c r="BQ187" t="s">
        <v>74</v>
      </c>
      <c r="BR187" t="s">
        <v>98</v>
      </c>
      <c r="BS187" t="s">
        <v>2782</v>
      </c>
      <c r="BT187" t="str">
        <f>HYPERLINK("https%3A%2F%2Fwww.webofscience.com%2Fwos%2Fwoscc%2Ffull-record%2FWOS:000085228300015","View Full Record in Web of Science")</f>
        <v>View Full Record in Web of Science</v>
      </c>
    </row>
    <row r="188" spans="1:72" x14ac:dyDescent="0.15">
      <c r="A188" t="s">
        <v>72</v>
      </c>
      <c r="B188" t="s">
        <v>2783</v>
      </c>
      <c r="C188" t="s">
        <v>74</v>
      </c>
      <c r="D188" t="s">
        <v>74</v>
      </c>
      <c r="E188" t="s">
        <v>74</v>
      </c>
      <c r="F188" t="s">
        <v>2783</v>
      </c>
      <c r="G188" t="s">
        <v>74</v>
      </c>
      <c r="H188" t="s">
        <v>74</v>
      </c>
      <c r="I188" t="s">
        <v>2784</v>
      </c>
      <c r="J188" t="s">
        <v>2666</v>
      </c>
      <c r="K188" t="s">
        <v>74</v>
      </c>
      <c r="L188" t="s">
        <v>74</v>
      </c>
      <c r="M188" t="s">
        <v>77</v>
      </c>
      <c r="N188" t="s">
        <v>123</v>
      </c>
      <c r="O188" t="s">
        <v>2683</v>
      </c>
      <c r="P188" t="s">
        <v>2684</v>
      </c>
      <c r="Q188" t="s">
        <v>2685</v>
      </c>
      <c r="R188" t="s">
        <v>74</v>
      </c>
      <c r="S188" t="s">
        <v>74</v>
      </c>
      <c r="T188" t="s">
        <v>74</v>
      </c>
      <c r="U188" t="s">
        <v>2785</v>
      </c>
      <c r="V188" t="s">
        <v>2786</v>
      </c>
      <c r="W188" t="s">
        <v>2787</v>
      </c>
      <c r="X188" t="s">
        <v>2788</v>
      </c>
      <c r="Y188" t="s">
        <v>2789</v>
      </c>
      <c r="Z188" t="s">
        <v>74</v>
      </c>
      <c r="AA188" t="s">
        <v>2790</v>
      </c>
      <c r="AB188" t="s">
        <v>2791</v>
      </c>
      <c r="AC188" t="s">
        <v>74</v>
      </c>
      <c r="AD188" t="s">
        <v>74</v>
      </c>
      <c r="AE188" t="s">
        <v>74</v>
      </c>
      <c r="AF188" t="s">
        <v>74</v>
      </c>
      <c r="AG188">
        <v>30</v>
      </c>
      <c r="AH188">
        <v>107</v>
      </c>
      <c r="AI188">
        <v>142</v>
      </c>
      <c r="AJ188">
        <v>2</v>
      </c>
      <c r="AK188">
        <v>92</v>
      </c>
      <c r="AL188" t="s">
        <v>2670</v>
      </c>
      <c r="AM188" t="s">
        <v>1082</v>
      </c>
      <c r="AN188" t="s">
        <v>2671</v>
      </c>
      <c r="AO188" t="s">
        <v>2672</v>
      </c>
      <c r="AP188" t="s">
        <v>74</v>
      </c>
      <c r="AQ188" t="s">
        <v>74</v>
      </c>
      <c r="AR188" t="s">
        <v>2673</v>
      </c>
      <c r="AS188" t="s">
        <v>2674</v>
      </c>
      <c r="AT188" t="s">
        <v>74</v>
      </c>
      <c r="AU188">
        <v>1999</v>
      </c>
      <c r="AV188">
        <v>18</v>
      </c>
      <c r="AW188">
        <v>2</v>
      </c>
      <c r="AX188" t="s">
        <v>74</v>
      </c>
      <c r="AY188" t="s">
        <v>74</v>
      </c>
      <c r="AZ188" t="s">
        <v>74</v>
      </c>
      <c r="BA188" t="s">
        <v>74</v>
      </c>
      <c r="BB188">
        <v>207</v>
      </c>
      <c r="BC188">
        <v>214</v>
      </c>
      <c r="BD188" t="s">
        <v>74</v>
      </c>
      <c r="BE188" t="s">
        <v>2792</v>
      </c>
      <c r="BF188" t="str">
        <f>HYPERLINK("http://dx.doi.org/10.1111/j.1751-8369.1999.tb00295.x","http://dx.doi.org/10.1111/j.1751-8369.1999.tb00295.x")</f>
        <v>http://dx.doi.org/10.1111/j.1751-8369.1999.tb00295.x</v>
      </c>
      <c r="BG188" t="s">
        <v>74</v>
      </c>
      <c r="BH188" t="s">
        <v>74</v>
      </c>
      <c r="BI188">
        <v>8</v>
      </c>
      <c r="BJ188" t="s">
        <v>2676</v>
      </c>
      <c r="BK188" t="s">
        <v>235</v>
      </c>
      <c r="BL188" t="s">
        <v>2677</v>
      </c>
      <c r="BM188" t="s">
        <v>2678</v>
      </c>
      <c r="BN188" t="s">
        <v>74</v>
      </c>
      <c r="BO188" t="s">
        <v>483</v>
      </c>
      <c r="BP188" t="s">
        <v>74</v>
      </c>
      <c r="BQ188" t="s">
        <v>74</v>
      </c>
      <c r="BR188" t="s">
        <v>98</v>
      </c>
      <c r="BS188" t="s">
        <v>2793</v>
      </c>
      <c r="BT188" t="str">
        <f>HYPERLINK("https%3A%2F%2Fwww.webofscience.com%2Fwos%2Fwoscc%2Ffull-record%2FWOS:000085228300016","View Full Record in Web of Science")</f>
        <v>View Full Record in Web of Science</v>
      </c>
    </row>
    <row r="189" spans="1:72" x14ac:dyDescent="0.15">
      <c r="A189" t="s">
        <v>72</v>
      </c>
      <c r="B189" t="s">
        <v>2794</v>
      </c>
      <c r="C189" t="s">
        <v>74</v>
      </c>
      <c r="D189" t="s">
        <v>74</v>
      </c>
      <c r="E189" t="s">
        <v>74</v>
      </c>
      <c r="F189" t="s">
        <v>2794</v>
      </c>
      <c r="G189" t="s">
        <v>74</v>
      </c>
      <c r="H189" t="s">
        <v>74</v>
      </c>
      <c r="I189" t="s">
        <v>2795</v>
      </c>
      <c r="J189" t="s">
        <v>2666</v>
      </c>
      <c r="K189" t="s">
        <v>74</v>
      </c>
      <c r="L189" t="s">
        <v>74</v>
      </c>
      <c r="M189" t="s">
        <v>77</v>
      </c>
      <c r="N189" t="s">
        <v>123</v>
      </c>
      <c r="O189" t="s">
        <v>2683</v>
      </c>
      <c r="P189" t="s">
        <v>2684</v>
      </c>
      <c r="Q189" t="s">
        <v>2685</v>
      </c>
      <c r="R189" t="s">
        <v>74</v>
      </c>
      <c r="S189" t="s">
        <v>74</v>
      </c>
      <c r="T189" t="s">
        <v>74</v>
      </c>
      <c r="U189" t="s">
        <v>2796</v>
      </c>
      <c r="V189" t="s">
        <v>2797</v>
      </c>
      <c r="W189" t="s">
        <v>2798</v>
      </c>
      <c r="X189" t="s">
        <v>2799</v>
      </c>
      <c r="Y189" t="s">
        <v>2800</v>
      </c>
      <c r="Z189" t="s">
        <v>74</v>
      </c>
      <c r="AA189" t="s">
        <v>74</v>
      </c>
      <c r="AB189" t="s">
        <v>2778</v>
      </c>
      <c r="AC189" t="s">
        <v>74</v>
      </c>
      <c r="AD189" t="s">
        <v>74</v>
      </c>
      <c r="AE189" t="s">
        <v>74</v>
      </c>
      <c r="AF189" t="s">
        <v>74</v>
      </c>
      <c r="AG189">
        <v>30</v>
      </c>
      <c r="AH189">
        <v>25</v>
      </c>
      <c r="AI189">
        <v>29</v>
      </c>
      <c r="AJ189">
        <v>3</v>
      </c>
      <c r="AK189">
        <v>20</v>
      </c>
      <c r="AL189" t="s">
        <v>2670</v>
      </c>
      <c r="AM189" t="s">
        <v>1082</v>
      </c>
      <c r="AN189" t="s">
        <v>2671</v>
      </c>
      <c r="AO189" t="s">
        <v>2672</v>
      </c>
      <c r="AP189" t="s">
        <v>74</v>
      </c>
      <c r="AQ189" t="s">
        <v>74</v>
      </c>
      <c r="AR189" t="s">
        <v>2673</v>
      </c>
      <c r="AS189" t="s">
        <v>2674</v>
      </c>
      <c r="AT189" t="s">
        <v>74</v>
      </c>
      <c r="AU189">
        <v>1999</v>
      </c>
      <c r="AV189">
        <v>18</v>
      </c>
      <c r="AW189">
        <v>2</v>
      </c>
      <c r="AX189" t="s">
        <v>74</v>
      </c>
      <c r="AY189" t="s">
        <v>74</v>
      </c>
      <c r="AZ189" t="s">
        <v>74</v>
      </c>
      <c r="BA189" t="s">
        <v>74</v>
      </c>
      <c r="BB189">
        <v>215</v>
      </c>
      <c r="BC189">
        <v>220</v>
      </c>
      <c r="BD189" t="s">
        <v>74</v>
      </c>
      <c r="BE189" t="s">
        <v>2801</v>
      </c>
      <c r="BF189" t="str">
        <f>HYPERLINK("http://dx.doi.org/10.1111/j.1751-8369.1999.tb00296.x","http://dx.doi.org/10.1111/j.1751-8369.1999.tb00296.x")</f>
        <v>http://dx.doi.org/10.1111/j.1751-8369.1999.tb00296.x</v>
      </c>
      <c r="BG189" t="s">
        <v>74</v>
      </c>
      <c r="BH189" t="s">
        <v>74</v>
      </c>
      <c r="BI189">
        <v>6</v>
      </c>
      <c r="BJ189" t="s">
        <v>2676</v>
      </c>
      <c r="BK189" t="s">
        <v>235</v>
      </c>
      <c r="BL189" t="s">
        <v>2677</v>
      </c>
      <c r="BM189" t="s">
        <v>2678</v>
      </c>
      <c r="BN189" t="s">
        <v>74</v>
      </c>
      <c r="BO189" t="s">
        <v>74</v>
      </c>
      <c r="BP189" t="s">
        <v>74</v>
      </c>
      <c r="BQ189" t="s">
        <v>74</v>
      </c>
      <c r="BR189" t="s">
        <v>98</v>
      </c>
      <c r="BS189" t="s">
        <v>2802</v>
      </c>
      <c r="BT189" t="str">
        <f>HYPERLINK("https%3A%2F%2Fwww.webofscience.com%2Fwos%2Fwoscc%2Ffull-record%2FWOS:000085228300017","View Full Record in Web of Science")</f>
        <v>View Full Record in Web of Science</v>
      </c>
    </row>
    <row r="190" spans="1:72" x14ac:dyDescent="0.15">
      <c r="A190" t="s">
        <v>72</v>
      </c>
      <c r="B190" t="s">
        <v>2803</v>
      </c>
      <c r="C190" t="s">
        <v>74</v>
      </c>
      <c r="D190" t="s">
        <v>74</v>
      </c>
      <c r="E190" t="s">
        <v>74</v>
      </c>
      <c r="F190" t="s">
        <v>2803</v>
      </c>
      <c r="G190" t="s">
        <v>74</v>
      </c>
      <c r="H190" t="s">
        <v>74</v>
      </c>
      <c r="I190" t="s">
        <v>2804</v>
      </c>
      <c r="J190" t="s">
        <v>2666</v>
      </c>
      <c r="K190" t="s">
        <v>74</v>
      </c>
      <c r="L190" t="s">
        <v>74</v>
      </c>
      <c r="M190" t="s">
        <v>77</v>
      </c>
      <c r="N190" t="s">
        <v>123</v>
      </c>
      <c r="O190" t="s">
        <v>2683</v>
      </c>
      <c r="P190" t="s">
        <v>2684</v>
      </c>
      <c r="Q190" t="s">
        <v>2685</v>
      </c>
      <c r="R190" t="s">
        <v>74</v>
      </c>
      <c r="S190" t="s">
        <v>74</v>
      </c>
      <c r="T190" t="s">
        <v>74</v>
      </c>
      <c r="U190" t="s">
        <v>2805</v>
      </c>
      <c r="V190" t="s">
        <v>2806</v>
      </c>
      <c r="W190" t="s">
        <v>2807</v>
      </c>
      <c r="X190" t="s">
        <v>2808</v>
      </c>
      <c r="Y190" t="s">
        <v>2809</v>
      </c>
      <c r="Z190" t="s">
        <v>74</v>
      </c>
      <c r="AA190" t="s">
        <v>74</v>
      </c>
      <c r="AB190" t="s">
        <v>2810</v>
      </c>
      <c r="AC190" t="s">
        <v>74</v>
      </c>
      <c r="AD190" t="s">
        <v>74</v>
      </c>
      <c r="AE190" t="s">
        <v>74</v>
      </c>
      <c r="AF190" t="s">
        <v>74</v>
      </c>
      <c r="AG190">
        <v>27</v>
      </c>
      <c r="AH190">
        <v>18</v>
      </c>
      <c r="AI190">
        <v>20</v>
      </c>
      <c r="AJ190">
        <v>0</v>
      </c>
      <c r="AK190">
        <v>4</v>
      </c>
      <c r="AL190" t="s">
        <v>2811</v>
      </c>
      <c r="AM190" t="s">
        <v>2812</v>
      </c>
      <c r="AN190" t="s">
        <v>2813</v>
      </c>
      <c r="AO190" t="s">
        <v>2672</v>
      </c>
      <c r="AP190" t="s">
        <v>74</v>
      </c>
      <c r="AQ190" t="s">
        <v>74</v>
      </c>
      <c r="AR190" t="s">
        <v>2673</v>
      </c>
      <c r="AS190" t="s">
        <v>2674</v>
      </c>
      <c r="AT190" t="s">
        <v>74</v>
      </c>
      <c r="AU190">
        <v>1999</v>
      </c>
      <c r="AV190">
        <v>18</v>
      </c>
      <c r="AW190">
        <v>2</v>
      </c>
      <c r="AX190" t="s">
        <v>74</v>
      </c>
      <c r="AY190" t="s">
        <v>74</v>
      </c>
      <c r="AZ190" t="s">
        <v>74</v>
      </c>
      <c r="BA190" t="s">
        <v>74</v>
      </c>
      <c r="BB190">
        <v>221</v>
      </c>
      <c r="BC190">
        <v>228</v>
      </c>
      <c r="BD190" t="s">
        <v>74</v>
      </c>
      <c r="BE190" t="s">
        <v>2814</v>
      </c>
      <c r="BF190" t="str">
        <f>HYPERLINK("http://dx.doi.org/10.1111/j.1751-8369.1999.tb00297.x","http://dx.doi.org/10.1111/j.1751-8369.1999.tb00297.x")</f>
        <v>http://dx.doi.org/10.1111/j.1751-8369.1999.tb00297.x</v>
      </c>
      <c r="BG190" t="s">
        <v>74</v>
      </c>
      <c r="BH190" t="s">
        <v>74</v>
      </c>
      <c r="BI190">
        <v>8</v>
      </c>
      <c r="BJ190" t="s">
        <v>2676</v>
      </c>
      <c r="BK190" t="s">
        <v>144</v>
      </c>
      <c r="BL190" t="s">
        <v>2677</v>
      </c>
      <c r="BM190" t="s">
        <v>2678</v>
      </c>
      <c r="BN190" t="s">
        <v>74</v>
      </c>
      <c r="BO190" t="s">
        <v>74</v>
      </c>
      <c r="BP190" t="s">
        <v>74</v>
      </c>
      <c r="BQ190" t="s">
        <v>74</v>
      </c>
      <c r="BR190" t="s">
        <v>98</v>
      </c>
      <c r="BS190" t="s">
        <v>2815</v>
      </c>
      <c r="BT190" t="str">
        <f>HYPERLINK("https%3A%2F%2Fwww.webofscience.com%2Fwos%2Fwoscc%2Ffull-record%2FWOS:000085228300018","View Full Record in Web of Science")</f>
        <v>View Full Record in Web of Science</v>
      </c>
    </row>
    <row r="191" spans="1:72" x14ac:dyDescent="0.15">
      <c r="A191" t="s">
        <v>72</v>
      </c>
      <c r="B191" t="s">
        <v>2816</v>
      </c>
      <c r="C191" t="s">
        <v>74</v>
      </c>
      <c r="D191" t="s">
        <v>74</v>
      </c>
      <c r="E191" t="s">
        <v>74</v>
      </c>
      <c r="F191" t="s">
        <v>2816</v>
      </c>
      <c r="G191" t="s">
        <v>74</v>
      </c>
      <c r="H191" t="s">
        <v>74</v>
      </c>
      <c r="I191" t="s">
        <v>2817</v>
      </c>
      <c r="J191" t="s">
        <v>2666</v>
      </c>
      <c r="K191" t="s">
        <v>74</v>
      </c>
      <c r="L191" t="s">
        <v>74</v>
      </c>
      <c r="M191" t="s">
        <v>77</v>
      </c>
      <c r="N191" t="s">
        <v>123</v>
      </c>
      <c r="O191" t="s">
        <v>2683</v>
      </c>
      <c r="P191" t="s">
        <v>2684</v>
      </c>
      <c r="Q191" t="s">
        <v>2685</v>
      </c>
      <c r="R191" t="s">
        <v>74</v>
      </c>
      <c r="S191" t="s">
        <v>74</v>
      </c>
      <c r="T191" t="s">
        <v>74</v>
      </c>
      <c r="U191" t="s">
        <v>2818</v>
      </c>
      <c r="V191" t="s">
        <v>2819</v>
      </c>
      <c r="W191" t="s">
        <v>2820</v>
      </c>
      <c r="X191" t="s">
        <v>2821</v>
      </c>
      <c r="Y191" t="s">
        <v>2822</v>
      </c>
      <c r="Z191" t="s">
        <v>74</v>
      </c>
      <c r="AA191" t="s">
        <v>74</v>
      </c>
      <c r="AB191" t="s">
        <v>2823</v>
      </c>
      <c r="AC191" t="s">
        <v>74</v>
      </c>
      <c r="AD191" t="s">
        <v>74</v>
      </c>
      <c r="AE191" t="s">
        <v>74</v>
      </c>
      <c r="AF191" t="s">
        <v>74</v>
      </c>
      <c r="AG191">
        <v>39</v>
      </c>
      <c r="AH191">
        <v>43</v>
      </c>
      <c r="AI191">
        <v>46</v>
      </c>
      <c r="AJ191">
        <v>0</v>
      </c>
      <c r="AK191">
        <v>8</v>
      </c>
      <c r="AL191" t="s">
        <v>2670</v>
      </c>
      <c r="AM191" t="s">
        <v>1082</v>
      </c>
      <c r="AN191" t="s">
        <v>2671</v>
      </c>
      <c r="AO191" t="s">
        <v>2672</v>
      </c>
      <c r="AP191" t="s">
        <v>74</v>
      </c>
      <c r="AQ191" t="s">
        <v>74</v>
      </c>
      <c r="AR191" t="s">
        <v>2673</v>
      </c>
      <c r="AS191" t="s">
        <v>2674</v>
      </c>
      <c r="AT191" t="s">
        <v>74</v>
      </c>
      <c r="AU191">
        <v>1999</v>
      </c>
      <c r="AV191">
        <v>18</v>
      </c>
      <c r="AW191">
        <v>2</v>
      </c>
      <c r="AX191" t="s">
        <v>74</v>
      </c>
      <c r="AY191" t="s">
        <v>74</v>
      </c>
      <c r="AZ191" t="s">
        <v>74</v>
      </c>
      <c r="BA191" t="s">
        <v>74</v>
      </c>
      <c r="BB191">
        <v>229</v>
      </c>
      <c r="BC191">
        <v>235</v>
      </c>
      <c r="BD191" t="s">
        <v>74</v>
      </c>
      <c r="BE191" t="s">
        <v>2824</v>
      </c>
      <c r="BF191" t="str">
        <f>HYPERLINK("http://dx.doi.org/10.1111/j.1751-8369.1999.tb00298.x","http://dx.doi.org/10.1111/j.1751-8369.1999.tb00298.x")</f>
        <v>http://dx.doi.org/10.1111/j.1751-8369.1999.tb00298.x</v>
      </c>
      <c r="BG191" t="s">
        <v>74</v>
      </c>
      <c r="BH191" t="s">
        <v>74</v>
      </c>
      <c r="BI191">
        <v>7</v>
      </c>
      <c r="BJ191" t="s">
        <v>2676</v>
      </c>
      <c r="BK191" t="s">
        <v>235</v>
      </c>
      <c r="BL191" t="s">
        <v>2677</v>
      </c>
      <c r="BM191" t="s">
        <v>2678</v>
      </c>
      <c r="BN191" t="s">
        <v>74</v>
      </c>
      <c r="BO191" t="s">
        <v>2825</v>
      </c>
      <c r="BP191" t="s">
        <v>74</v>
      </c>
      <c r="BQ191" t="s">
        <v>74</v>
      </c>
      <c r="BR191" t="s">
        <v>98</v>
      </c>
      <c r="BS191" t="s">
        <v>2826</v>
      </c>
      <c r="BT191" t="str">
        <f>HYPERLINK("https%3A%2F%2Fwww.webofscience.com%2Fwos%2Fwoscc%2Ffull-record%2FWOS:000085228300019","View Full Record in Web of Science")</f>
        <v>View Full Record in Web of Science</v>
      </c>
    </row>
    <row r="192" spans="1:72" x14ac:dyDescent="0.15">
      <c r="A192" t="s">
        <v>72</v>
      </c>
      <c r="B192" t="s">
        <v>2827</v>
      </c>
      <c r="C192" t="s">
        <v>74</v>
      </c>
      <c r="D192" t="s">
        <v>74</v>
      </c>
      <c r="E192" t="s">
        <v>74</v>
      </c>
      <c r="F192" t="s">
        <v>2827</v>
      </c>
      <c r="G192" t="s">
        <v>74</v>
      </c>
      <c r="H192" t="s">
        <v>74</v>
      </c>
      <c r="I192" t="s">
        <v>2828</v>
      </c>
      <c r="J192" t="s">
        <v>2666</v>
      </c>
      <c r="K192" t="s">
        <v>74</v>
      </c>
      <c r="L192" t="s">
        <v>74</v>
      </c>
      <c r="M192" t="s">
        <v>77</v>
      </c>
      <c r="N192" t="s">
        <v>123</v>
      </c>
      <c r="O192" t="s">
        <v>2683</v>
      </c>
      <c r="P192" t="s">
        <v>2684</v>
      </c>
      <c r="Q192" t="s">
        <v>2685</v>
      </c>
      <c r="R192" t="s">
        <v>74</v>
      </c>
      <c r="S192" t="s">
        <v>74</v>
      </c>
      <c r="T192" t="s">
        <v>74</v>
      </c>
      <c r="U192" t="s">
        <v>2829</v>
      </c>
      <c r="V192" t="s">
        <v>2830</v>
      </c>
      <c r="W192" t="s">
        <v>1165</v>
      </c>
      <c r="X192" t="s">
        <v>1166</v>
      </c>
      <c r="Y192" t="s">
        <v>2831</v>
      </c>
      <c r="Z192" t="s">
        <v>74</v>
      </c>
      <c r="AA192" t="s">
        <v>2832</v>
      </c>
      <c r="AB192" t="s">
        <v>74</v>
      </c>
      <c r="AC192" t="s">
        <v>74</v>
      </c>
      <c r="AD192" t="s">
        <v>74</v>
      </c>
      <c r="AE192" t="s">
        <v>74</v>
      </c>
      <c r="AF192" t="s">
        <v>74</v>
      </c>
      <c r="AG192">
        <v>32</v>
      </c>
      <c r="AH192">
        <v>32</v>
      </c>
      <c r="AI192">
        <v>38</v>
      </c>
      <c r="AJ192">
        <v>3</v>
      </c>
      <c r="AK192">
        <v>33</v>
      </c>
      <c r="AL192" t="s">
        <v>2670</v>
      </c>
      <c r="AM192" t="s">
        <v>1082</v>
      </c>
      <c r="AN192" t="s">
        <v>2671</v>
      </c>
      <c r="AO192" t="s">
        <v>2672</v>
      </c>
      <c r="AP192" t="s">
        <v>74</v>
      </c>
      <c r="AQ192" t="s">
        <v>74</v>
      </c>
      <c r="AR192" t="s">
        <v>2673</v>
      </c>
      <c r="AS192" t="s">
        <v>2674</v>
      </c>
      <c r="AT192" t="s">
        <v>74</v>
      </c>
      <c r="AU192">
        <v>1999</v>
      </c>
      <c r="AV192">
        <v>18</v>
      </c>
      <c r="AW192">
        <v>2</v>
      </c>
      <c r="AX192" t="s">
        <v>74</v>
      </c>
      <c r="AY192" t="s">
        <v>74</v>
      </c>
      <c r="AZ192" t="s">
        <v>74</v>
      </c>
      <c r="BA192" t="s">
        <v>74</v>
      </c>
      <c r="BB192">
        <v>237</v>
      </c>
      <c r="BC192">
        <v>244</v>
      </c>
      <c r="BD192" t="s">
        <v>74</v>
      </c>
      <c r="BE192" t="s">
        <v>2833</v>
      </c>
      <c r="BF192" t="str">
        <f>HYPERLINK("http://dx.doi.org/10.1111/j.1751-8369.1999.tb00299.x","http://dx.doi.org/10.1111/j.1751-8369.1999.tb00299.x")</f>
        <v>http://dx.doi.org/10.1111/j.1751-8369.1999.tb00299.x</v>
      </c>
      <c r="BG192" t="s">
        <v>74</v>
      </c>
      <c r="BH192" t="s">
        <v>74</v>
      </c>
      <c r="BI192">
        <v>8</v>
      </c>
      <c r="BJ192" t="s">
        <v>2676</v>
      </c>
      <c r="BK192" t="s">
        <v>235</v>
      </c>
      <c r="BL192" t="s">
        <v>2677</v>
      </c>
      <c r="BM192" t="s">
        <v>2678</v>
      </c>
      <c r="BN192" t="s">
        <v>74</v>
      </c>
      <c r="BO192" t="s">
        <v>74</v>
      </c>
      <c r="BP192" t="s">
        <v>74</v>
      </c>
      <c r="BQ192" t="s">
        <v>74</v>
      </c>
      <c r="BR192" t="s">
        <v>98</v>
      </c>
      <c r="BS192" t="s">
        <v>2834</v>
      </c>
      <c r="BT192" t="str">
        <f>HYPERLINK("https%3A%2F%2Fwww.webofscience.com%2Fwos%2Fwoscc%2Ffull-record%2FWOS:000085228300020","View Full Record in Web of Science")</f>
        <v>View Full Record in Web of Science</v>
      </c>
    </row>
    <row r="193" spans="1:72" x14ac:dyDescent="0.15">
      <c r="A193" t="s">
        <v>72</v>
      </c>
      <c r="B193" t="s">
        <v>2835</v>
      </c>
      <c r="C193" t="s">
        <v>74</v>
      </c>
      <c r="D193" t="s">
        <v>74</v>
      </c>
      <c r="E193" t="s">
        <v>74</v>
      </c>
      <c r="F193" t="s">
        <v>2835</v>
      </c>
      <c r="G193" t="s">
        <v>74</v>
      </c>
      <c r="H193" t="s">
        <v>74</v>
      </c>
      <c r="I193" t="s">
        <v>2836</v>
      </c>
      <c r="J193" t="s">
        <v>2666</v>
      </c>
      <c r="K193" t="s">
        <v>74</v>
      </c>
      <c r="L193" t="s">
        <v>74</v>
      </c>
      <c r="M193" t="s">
        <v>77</v>
      </c>
      <c r="N193" t="s">
        <v>123</v>
      </c>
      <c r="O193" t="s">
        <v>2683</v>
      </c>
      <c r="P193" t="s">
        <v>2684</v>
      </c>
      <c r="Q193" t="s">
        <v>2685</v>
      </c>
      <c r="R193" t="s">
        <v>74</v>
      </c>
      <c r="S193" t="s">
        <v>74</v>
      </c>
      <c r="T193" t="s">
        <v>74</v>
      </c>
      <c r="U193" t="s">
        <v>2837</v>
      </c>
      <c r="V193" t="s">
        <v>2838</v>
      </c>
      <c r="W193" t="s">
        <v>2839</v>
      </c>
      <c r="X193" t="s">
        <v>2840</v>
      </c>
      <c r="Y193" t="s">
        <v>2841</v>
      </c>
      <c r="Z193" t="s">
        <v>74</v>
      </c>
      <c r="AA193" t="s">
        <v>74</v>
      </c>
      <c r="AB193" t="s">
        <v>74</v>
      </c>
      <c r="AC193" t="s">
        <v>74</v>
      </c>
      <c r="AD193" t="s">
        <v>74</v>
      </c>
      <c r="AE193" t="s">
        <v>74</v>
      </c>
      <c r="AF193" t="s">
        <v>74</v>
      </c>
      <c r="AG193">
        <v>28</v>
      </c>
      <c r="AH193">
        <v>82</v>
      </c>
      <c r="AI193">
        <v>94</v>
      </c>
      <c r="AJ193">
        <v>0</v>
      </c>
      <c r="AK193">
        <v>45</v>
      </c>
      <c r="AL193" t="s">
        <v>2670</v>
      </c>
      <c r="AM193" t="s">
        <v>1082</v>
      </c>
      <c r="AN193" t="s">
        <v>2671</v>
      </c>
      <c r="AO193" t="s">
        <v>2672</v>
      </c>
      <c r="AP193" t="s">
        <v>74</v>
      </c>
      <c r="AQ193" t="s">
        <v>74</v>
      </c>
      <c r="AR193" t="s">
        <v>2673</v>
      </c>
      <c r="AS193" t="s">
        <v>2674</v>
      </c>
      <c r="AT193" t="s">
        <v>74</v>
      </c>
      <c r="AU193">
        <v>1999</v>
      </c>
      <c r="AV193">
        <v>18</v>
      </c>
      <c r="AW193">
        <v>2</v>
      </c>
      <c r="AX193" t="s">
        <v>74</v>
      </c>
      <c r="AY193" t="s">
        <v>74</v>
      </c>
      <c r="AZ193" t="s">
        <v>74</v>
      </c>
      <c r="BA193" t="s">
        <v>74</v>
      </c>
      <c r="BB193">
        <v>245</v>
      </c>
      <c r="BC193">
        <v>252</v>
      </c>
      <c r="BD193" t="s">
        <v>74</v>
      </c>
      <c r="BE193" t="s">
        <v>2842</v>
      </c>
      <c r="BF193" t="str">
        <f>HYPERLINK("http://dx.doi.org/10.1111/j.1751-8369.1999.tb00300.x","http://dx.doi.org/10.1111/j.1751-8369.1999.tb00300.x")</f>
        <v>http://dx.doi.org/10.1111/j.1751-8369.1999.tb00300.x</v>
      </c>
      <c r="BG193" t="s">
        <v>74</v>
      </c>
      <c r="BH193" t="s">
        <v>74</v>
      </c>
      <c r="BI193">
        <v>8</v>
      </c>
      <c r="BJ193" t="s">
        <v>2676</v>
      </c>
      <c r="BK193" t="s">
        <v>235</v>
      </c>
      <c r="BL193" t="s">
        <v>2677</v>
      </c>
      <c r="BM193" t="s">
        <v>2678</v>
      </c>
      <c r="BN193" t="s">
        <v>74</v>
      </c>
      <c r="BO193" t="s">
        <v>74</v>
      </c>
      <c r="BP193" t="s">
        <v>74</v>
      </c>
      <c r="BQ193" t="s">
        <v>74</v>
      </c>
      <c r="BR193" t="s">
        <v>98</v>
      </c>
      <c r="BS193" t="s">
        <v>2843</v>
      </c>
      <c r="BT193" t="str">
        <f>HYPERLINK("https%3A%2F%2Fwww.webofscience.com%2Fwos%2Fwoscc%2Ffull-record%2FWOS:000085228300021","View Full Record in Web of Science")</f>
        <v>View Full Record in Web of Science</v>
      </c>
    </row>
    <row r="194" spans="1:72" x14ac:dyDescent="0.15">
      <c r="A194" t="s">
        <v>72</v>
      </c>
      <c r="B194" t="s">
        <v>2844</v>
      </c>
      <c r="C194" t="s">
        <v>74</v>
      </c>
      <c r="D194" t="s">
        <v>74</v>
      </c>
      <c r="E194" t="s">
        <v>74</v>
      </c>
      <c r="F194" t="s">
        <v>2844</v>
      </c>
      <c r="G194" t="s">
        <v>74</v>
      </c>
      <c r="H194" t="s">
        <v>74</v>
      </c>
      <c r="I194" t="s">
        <v>2845</v>
      </c>
      <c r="J194" t="s">
        <v>2666</v>
      </c>
      <c r="K194" t="s">
        <v>74</v>
      </c>
      <c r="L194" t="s">
        <v>74</v>
      </c>
      <c r="M194" t="s">
        <v>77</v>
      </c>
      <c r="N194" t="s">
        <v>123</v>
      </c>
      <c r="O194" t="s">
        <v>2683</v>
      </c>
      <c r="P194" t="s">
        <v>2684</v>
      </c>
      <c r="Q194" t="s">
        <v>2685</v>
      </c>
      <c r="R194" t="s">
        <v>74</v>
      </c>
      <c r="S194" t="s">
        <v>74</v>
      </c>
      <c r="T194" t="s">
        <v>74</v>
      </c>
      <c r="U194" t="s">
        <v>2846</v>
      </c>
      <c r="V194" t="s">
        <v>2847</v>
      </c>
      <c r="W194" t="s">
        <v>2848</v>
      </c>
      <c r="X194" t="s">
        <v>74</v>
      </c>
      <c r="Y194" t="s">
        <v>2849</v>
      </c>
      <c r="Z194" t="s">
        <v>74</v>
      </c>
      <c r="AA194" t="s">
        <v>74</v>
      </c>
      <c r="AB194" t="s">
        <v>74</v>
      </c>
      <c r="AC194" t="s">
        <v>74</v>
      </c>
      <c r="AD194" t="s">
        <v>74</v>
      </c>
      <c r="AE194" t="s">
        <v>74</v>
      </c>
      <c r="AF194" t="s">
        <v>74</v>
      </c>
      <c r="AG194">
        <v>25</v>
      </c>
      <c r="AH194">
        <v>21</v>
      </c>
      <c r="AI194">
        <v>24</v>
      </c>
      <c r="AJ194">
        <v>0</v>
      </c>
      <c r="AK194">
        <v>15</v>
      </c>
      <c r="AL194" t="s">
        <v>2670</v>
      </c>
      <c r="AM194" t="s">
        <v>1082</v>
      </c>
      <c r="AN194" t="s">
        <v>2671</v>
      </c>
      <c r="AO194" t="s">
        <v>2672</v>
      </c>
      <c r="AP194" t="s">
        <v>74</v>
      </c>
      <c r="AQ194" t="s">
        <v>74</v>
      </c>
      <c r="AR194" t="s">
        <v>2673</v>
      </c>
      <c r="AS194" t="s">
        <v>2674</v>
      </c>
      <c r="AT194" t="s">
        <v>74</v>
      </c>
      <c r="AU194">
        <v>1999</v>
      </c>
      <c r="AV194">
        <v>18</v>
      </c>
      <c r="AW194">
        <v>2</v>
      </c>
      <c r="AX194" t="s">
        <v>74</v>
      </c>
      <c r="AY194" t="s">
        <v>74</v>
      </c>
      <c r="AZ194" t="s">
        <v>74</v>
      </c>
      <c r="BA194" t="s">
        <v>74</v>
      </c>
      <c r="BB194">
        <v>253</v>
      </c>
      <c r="BC194">
        <v>260</v>
      </c>
      <c r="BD194" t="s">
        <v>74</v>
      </c>
      <c r="BE194" t="s">
        <v>2850</v>
      </c>
      <c r="BF194" t="str">
        <f>HYPERLINK("http://dx.doi.org/10.1111/j.1751-8369.1999.tb00301.x","http://dx.doi.org/10.1111/j.1751-8369.1999.tb00301.x")</f>
        <v>http://dx.doi.org/10.1111/j.1751-8369.1999.tb00301.x</v>
      </c>
      <c r="BG194" t="s">
        <v>74</v>
      </c>
      <c r="BH194" t="s">
        <v>74</v>
      </c>
      <c r="BI194">
        <v>8</v>
      </c>
      <c r="BJ194" t="s">
        <v>2676</v>
      </c>
      <c r="BK194" t="s">
        <v>235</v>
      </c>
      <c r="BL194" t="s">
        <v>2677</v>
      </c>
      <c r="BM194" t="s">
        <v>2678</v>
      </c>
      <c r="BN194" t="s">
        <v>74</v>
      </c>
      <c r="BO194" t="s">
        <v>74</v>
      </c>
      <c r="BP194" t="s">
        <v>74</v>
      </c>
      <c r="BQ194" t="s">
        <v>74</v>
      </c>
      <c r="BR194" t="s">
        <v>98</v>
      </c>
      <c r="BS194" t="s">
        <v>2851</v>
      </c>
      <c r="BT194" t="str">
        <f>HYPERLINK("https%3A%2F%2Fwww.webofscience.com%2Fwos%2Fwoscc%2Ffull-record%2FWOS:000085228300022","View Full Record in Web of Science")</f>
        <v>View Full Record in Web of Science</v>
      </c>
    </row>
    <row r="195" spans="1:72" x14ac:dyDescent="0.15">
      <c r="A195" t="s">
        <v>72</v>
      </c>
      <c r="B195" t="s">
        <v>2852</v>
      </c>
      <c r="C195" t="s">
        <v>74</v>
      </c>
      <c r="D195" t="s">
        <v>74</v>
      </c>
      <c r="E195" t="s">
        <v>74</v>
      </c>
      <c r="F195" t="s">
        <v>2852</v>
      </c>
      <c r="G195" t="s">
        <v>74</v>
      </c>
      <c r="H195" t="s">
        <v>74</v>
      </c>
      <c r="I195" t="s">
        <v>2853</v>
      </c>
      <c r="J195" t="s">
        <v>2666</v>
      </c>
      <c r="K195" t="s">
        <v>74</v>
      </c>
      <c r="L195" t="s">
        <v>74</v>
      </c>
      <c r="M195" t="s">
        <v>77</v>
      </c>
      <c r="N195" t="s">
        <v>123</v>
      </c>
      <c r="O195" t="s">
        <v>2683</v>
      </c>
      <c r="P195" t="s">
        <v>2684</v>
      </c>
      <c r="Q195" t="s">
        <v>2685</v>
      </c>
      <c r="R195" t="s">
        <v>74</v>
      </c>
      <c r="S195" t="s">
        <v>74</v>
      </c>
      <c r="T195" t="s">
        <v>74</v>
      </c>
      <c r="U195" t="s">
        <v>2854</v>
      </c>
      <c r="V195" t="s">
        <v>2855</v>
      </c>
      <c r="W195" t="s">
        <v>2856</v>
      </c>
      <c r="X195" t="s">
        <v>2857</v>
      </c>
      <c r="Y195" t="s">
        <v>2858</v>
      </c>
      <c r="Z195" t="s">
        <v>74</v>
      </c>
      <c r="AA195" t="s">
        <v>74</v>
      </c>
      <c r="AB195" t="s">
        <v>74</v>
      </c>
      <c r="AC195" t="s">
        <v>74</v>
      </c>
      <c r="AD195" t="s">
        <v>74</v>
      </c>
      <c r="AE195" t="s">
        <v>74</v>
      </c>
      <c r="AF195" t="s">
        <v>74</v>
      </c>
      <c r="AG195">
        <v>30</v>
      </c>
      <c r="AH195">
        <v>25</v>
      </c>
      <c r="AI195">
        <v>29</v>
      </c>
      <c r="AJ195">
        <v>0</v>
      </c>
      <c r="AK195">
        <v>23</v>
      </c>
      <c r="AL195" t="s">
        <v>2670</v>
      </c>
      <c r="AM195" t="s">
        <v>1082</v>
      </c>
      <c r="AN195" t="s">
        <v>2671</v>
      </c>
      <c r="AO195" t="s">
        <v>2672</v>
      </c>
      <c r="AP195" t="s">
        <v>74</v>
      </c>
      <c r="AQ195" t="s">
        <v>74</v>
      </c>
      <c r="AR195" t="s">
        <v>2673</v>
      </c>
      <c r="AS195" t="s">
        <v>2674</v>
      </c>
      <c r="AT195" t="s">
        <v>74</v>
      </c>
      <c r="AU195">
        <v>1999</v>
      </c>
      <c r="AV195">
        <v>18</v>
      </c>
      <c r="AW195">
        <v>2</v>
      </c>
      <c r="AX195" t="s">
        <v>74</v>
      </c>
      <c r="AY195" t="s">
        <v>74</v>
      </c>
      <c r="AZ195" t="s">
        <v>74</v>
      </c>
      <c r="BA195" t="s">
        <v>74</v>
      </c>
      <c r="BB195">
        <v>261</v>
      </c>
      <c r="BC195">
        <v>268</v>
      </c>
      <c r="BD195" t="s">
        <v>74</v>
      </c>
      <c r="BE195" t="s">
        <v>2859</v>
      </c>
      <c r="BF195" t="str">
        <f>HYPERLINK("http://dx.doi.org/10.1111/j.1751-8369.1999.tb00302.x","http://dx.doi.org/10.1111/j.1751-8369.1999.tb00302.x")</f>
        <v>http://dx.doi.org/10.1111/j.1751-8369.1999.tb00302.x</v>
      </c>
      <c r="BG195" t="s">
        <v>74</v>
      </c>
      <c r="BH195" t="s">
        <v>74</v>
      </c>
      <c r="BI195">
        <v>8</v>
      </c>
      <c r="BJ195" t="s">
        <v>2676</v>
      </c>
      <c r="BK195" t="s">
        <v>235</v>
      </c>
      <c r="BL195" t="s">
        <v>2677</v>
      </c>
      <c r="BM195" t="s">
        <v>2678</v>
      </c>
      <c r="BN195" t="s">
        <v>74</v>
      </c>
      <c r="BO195" t="s">
        <v>74</v>
      </c>
      <c r="BP195" t="s">
        <v>74</v>
      </c>
      <c r="BQ195" t="s">
        <v>74</v>
      </c>
      <c r="BR195" t="s">
        <v>98</v>
      </c>
      <c r="BS195" t="s">
        <v>2860</v>
      </c>
      <c r="BT195" t="str">
        <f>HYPERLINK("https%3A%2F%2Fwww.webofscience.com%2Fwos%2Fwoscc%2Ffull-record%2FWOS:000085228300023","View Full Record in Web of Science")</f>
        <v>View Full Record in Web of Science</v>
      </c>
    </row>
    <row r="196" spans="1:72" x14ac:dyDescent="0.15">
      <c r="A196" t="s">
        <v>72</v>
      </c>
      <c r="B196" t="s">
        <v>2861</v>
      </c>
      <c r="C196" t="s">
        <v>74</v>
      </c>
      <c r="D196" t="s">
        <v>74</v>
      </c>
      <c r="E196" t="s">
        <v>74</v>
      </c>
      <c r="F196" t="s">
        <v>2861</v>
      </c>
      <c r="G196" t="s">
        <v>74</v>
      </c>
      <c r="H196" t="s">
        <v>74</v>
      </c>
      <c r="I196" t="s">
        <v>2862</v>
      </c>
      <c r="J196" t="s">
        <v>2666</v>
      </c>
      <c r="K196" t="s">
        <v>74</v>
      </c>
      <c r="L196" t="s">
        <v>74</v>
      </c>
      <c r="M196" t="s">
        <v>77</v>
      </c>
      <c r="N196" t="s">
        <v>123</v>
      </c>
      <c r="O196" t="s">
        <v>2683</v>
      </c>
      <c r="P196" t="s">
        <v>2684</v>
      </c>
      <c r="Q196" t="s">
        <v>2685</v>
      </c>
      <c r="R196" t="s">
        <v>74</v>
      </c>
      <c r="S196" t="s">
        <v>74</v>
      </c>
      <c r="T196" t="s">
        <v>74</v>
      </c>
      <c r="U196" t="s">
        <v>2863</v>
      </c>
      <c r="V196" t="s">
        <v>2864</v>
      </c>
      <c r="W196" t="s">
        <v>2865</v>
      </c>
      <c r="X196" t="s">
        <v>2866</v>
      </c>
      <c r="Y196" t="s">
        <v>2867</v>
      </c>
      <c r="Z196" t="s">
        <v>74</v>
      </c>
      <c r="AA196" t="s">
        <v>74</v>
      </c>
      <c r="AB196" t="s">
        <v>74</v>
      </c>
      <c r="AC196" t="s">
        <v>74</v>
      </c>
      <c r="AD196" t="s">
        <v>74</v>
      </c>
      <c r="AE196" t="s">
        <v>74</v>
      </c>
      <c r="AF196" t="s">
        <v>74</v>
      </c>
      <c r="AG196">
        <v>17</v>
      </c>
      <c r="AH196">
        <v>19</v>
      </c>
      <c r="AI196">
        <v>24</v>
      </c>
      <c r="AJ196">
        <v>1</v>
      </c>
      <c r="AK196">
        <v>8</v>
      </c>
      <c r="AL196" t="s">
        <v>2670</v>
      </c>
      <c r="AM196" t="s">
        <v>1082</v>
      </c>
      <c r="AN196" t="s">
        <v>2671</v>
      </c>
      <c r="AO196" t="s">
        <v>2672</v>
      </c>
      <c r="AP196" t="s">
        <v>74</v>
      </c>
      <c r="AQ196" t="s">
        <v>74</v>
      </c>
      <c r="AR196" t="s">
        <v>2673</v>
      </c>
      <c r="AS196" t="s">
        <v>2674</v>
      </c>
      <c r="AT196" t="s">
        <v>74</v>
      </c>
      <c r="AU196">
        <v>1999</v>
      </c>
      <c r="AV196">
        <v>18</v>
      </c>
      <c r="AW196">
        <v>2</v>
      </c>
      <c r="AX196" t="s">
        <v>74</v>
      </c>
      <c r="AY196" t="s">
        <v>74</v>
      </c>
      <c r="AZ196" t="s">
        <v>74</v>
      </c>
      <c r="BA196" t="s">
        <v>74</v>
      </c>
      <c r="BB196">
        <v>269</v>
      </c>
      <c r="BC196">
        <v>274</v>
      </c>
      <c r="BD196" t="s">
        <v>74</v>
      </c>
      <c r="BE196" t="s">
        <v>2868</v>
      </c>
      <c r="BF196" t="str">
        <f>HYPERLINK("http://dx.doi.org/10.1111/j.1751-8369.1999.tb00303.x","http://dx.doi.org/10.1111/j.1751-8369.1999.tb00303.x")</f>
        <v>http://dx.doi.org/10.1111/j.1751-8369.1999.tb00303.x</v>
      </c>
      <c r="BG196" t="s">
        <v>74</v>
      </c>
      <c r="BH196" t="s">
        <v>74</v>
      </c>
      <c r="BI196">
        <v>6</v>
      </c>
      <c r="BJ196" t="s">
        <v>2676</v>
      </c>
      <c r="BK196" t="s">
        <v>235</v>
      </c>
      <c r="BL196" t="s">
        <v>2677</v>
      </c>
      <c r="BM196" t="s">
        <v>2678</v>
      </c>
      <c r="BN196" t="s">
        <v>74</v>
      </c>
      <c r="BO196" t="s">
        <v>1429</v>
      </c>
      <c r="BP196" t="s">
        <v>74</v>
      </c>
      <c r="BQ196" t="s">
        <v>74</v>
      </c>
      <c r="BR196" t="s">
        <v>98</v>
      </c>
      <c r="BS196" t="s">
        <v>2869</v>
      </c>
      <c r="BT196" t="str">
        <f>HYPERLINK("https%3A%2F%2Fwww.webofscience.com%2Fwos%2Fwoscc%2Ffull-record%2FWOS:000085228300024","View Full Record in Web of Science")</f>
        <v>View Full Record in Web of Science</v>
      </c>
    </row>
    <row r="197" spans="1:72" x14ac:dyDescent="0.15">
      <c r="A197" t="s">
        <v>72</v>
      </c>
      <c r="B197" t="s">
        <v>2870</v>
      </c>
      <c r="C197" t="s">
        <v>74</v>
      </c>
      <c r="D197" t="s">
        <v>74</v>
      </c>
      <c r="E197" t="s">
        <v>74</v>
      </c>
      <c r="F197" t="s">
        <v>2870</v>
      </c>
      <c r="G197" t="s">
        <v>74</v>
      </c>
      <c r="H197" t="s">
        <v>74</v>
      </c>
      <c r="I197" t="s">
        <v>2871</v>
      </c>
      <c r="J197" t="s">
        <v>2666</v>
      </c>
      <c r="K197" t="s">
        <v>74</v>
      </c>
      <c r="L197" t="s">
        <v>74</v>
      </c>
      <c r="M197" t="s">
        <v>77</v>
      </c>
      <c r="N197" t="s">
        <v>123</v>
      </c>
      <c r="O197" t="s">
        <v>2683</v>
      </c>
      <c r="P197" t="s">
        <v>2684</v>
      </c>
      <c r="Q197" t="s">
        <v>2685</v>
      </c>
      <c r="R197" t="s">
        <v>74</v>
      </c>
      <c r="S197" t="s">
        <v>74</v>
      </c>
      <c r="T197" t="s">
        <v>74</v>
      </c>
      <c r="U197" t="s">
        <v>2872</v>
      </c>
      <c r="V197" t="s">
        <v>2873</v>
      </c>
      <c r="W197" t="s">
        <v>2874</v>
      </c>
      <c r="X197" t="s">
        <v>2875</v>
      </c>
      <c r="Y197" t="s">
        <v>2876</v>
      </c>
      <c r="Z197" t="s">
        <v>74</v>
      </c>
      <c r="AA197" t="s">
        <v>74</v>
      </c>
      <c r="AB197" t="s">
        <v>74</v>
      </c>
      <c r="AC197" t="s">
        <v>74</v>
      </c>
      <c r="AD197" t="s">
        <v>74</v>
      </c>
      <c r="AE197" t="s">
        <v>74</v>
      </c>
      <c r="AF197" t="s">
        <v>74</v>
      </c>
      <c r="AG197">
        <v>30</v>
      </c>
      <c r="AH197">
        <v>40</v>
      </c>
      <c r="AI197">
        <v>46</v>
      </c>
      <c r="AJ197">
        <v>1</v>
      </c>
      <c r="AK197">
        <v>11</v>
      </c>
      <c r="AL197" t="s">
        <v>2670</v>
      </c>
      <c r="AM197" t="s">
        <v>1082</v>
      </c>
      <c r="AN197" t="s">
        <v>2671</v>
      </c>
      <c r="AO197" t="s">
        <v>2672</v>
      </c>
      <c r="AP197" t="s">
        <v>74</v>
      </c>
      <c r="AQ197" t="s">
        <v>74</v>
      </c>
      <c r="AR197" t="s">
        <v>2673</v>
      </c>
      <c r="AS197" t="s">
        <v>2674</v>
      </c>
      <c r="AT197" t="s">
        <v>74</v>
      </c>
      <c r="AU197">
        <v>1999</v>
      </c>
      <c r="AV197">
        <v>18</v>
      </c>
      <c r="AW197">
        <v>2</v>
      </c>
      <c r="AX197" t="s">
        <v>74</v>
      </c>
      <c r="AY197" t="s">
        <v>74</v>
      </c>
      <c r="AZ197" t="s">
        <v>74</v>
      </c>
      <c r="BA197" t="s">
        <v>74</v>
      </c>
      <c r="BB197">
        <v>275</v>
      </c>
      <c r="BC197">
        <v>282</v>
      </c>
      <c r="BD197" t="s">
        <v>74</v>
      </c>
      <c r="BE197" t="s">
        <v>2877</v>
      </c>
      <c r="BF197" t="str">
        <f>HYPERLINK("http://dx.doi.org/10.1111/j.1751-8369.1999.tb00304.x","http://dx.doi.org/10.1111/j.1751-8369.1999.tb00304.x")</f>
        <v>http://dx.doi.org/10.1111/j.1751-8369.1999.tb00304.x</v>
      </c>
      <c r="BG197" t="s">
        <v>74</v>
      </c>
      <c r="BH197" t="s">
        <v>74</v>
      </c>
      <c r="BI197">
        <v>8</v>
      </c>
      <c r="BJ197" t="s">
        <v>2676</v>
      </c>
      <c r="BK197" t="s">
        <v>235</v>
      </c>
      <c r="BL197" t="s">
        <v>2677</v>
      </c>
      <c r="BM197" t="s">
        <v>2678</v>
      </c>
      <c r="BN197" t="s">
        <v>74</v>
      </c>
      <c r="BO197" t="s">
        <v>74</v>
      </c>
      <c r="BP197" t="s">
        <v>74</v>
      </c>
      <c r="BQ197" t="s">
        <v>74</v>
      </c>
      <c r="BR197" t="s">
        <v>98</v>
      </c>
      <c r="BS197" t="s">
        <v>2878</v>
      </c>
      <c r="BT197" t="str">
        <f>HYPERLINK("https%3A%2F%2Fwww.webofscience.com%2Fwos%2Fwoscc%2Ffull-record%2FWOS:000085228300025","View Full Record in Web of Science")</f>
        <v>View Full Record in Web of Science</v>
      </c>
    </row>
    <row r="198" spans="1:72" x14ac:dyDescent="0.15">
      <c r="A198" t="s">
        <v>72</v>
      </c>
      <c r="B198" t="s">
        <v>2879</v>
      </c>
      <c r="C198" t="s">
        <v>74</v>
      </c>
      <c r="D198" t="s">
        <v>74</v>
      </c>
      <c r="E198" t="s">
        <v>74</v>
      </c>
      <c r="F198" t="s">
        <v>2879</v>
      </c>
      <c r="G198" t="s">
        <v>74</v>
      </c>
      <c r="H198" t="s">
        <v>74</v>
      </c>
      <c r="I198" t="s">
        <v>2880</v>
      </c>
      <c r="J198" t="s">
        <v>2666</v>
      </c>
      <c r="K198" t="s">
        <v>74</v>
      </c>
      <c r="L198" t="s">
        <v>74</v>
      </c>
      <c r="M198" t="s">
        <v>77</v>
      </c>
      <c r="N198" t="s">
        <v>123</v>
      </c>
      <c r="O198" t="s">
        <v>2683</v>
      </c>
      <c r="P198" t="s">
        <v>2684</v>
      </c>
      <c r="Q198" t="s">
        <v>2685</v>
      </c>
      <c r="R198" t="s">
        <v>74</v>
      </c>
      <c r="S198" t="s">
        <v>74</v>
      </c>
      <c r="T198" t="s">
        <v>74</v>
      </c>
      <c r="U198" t="s">
        <v>2881</v>
      </c>
      <c r="V198" t="s">
        <v>2882</v>
      </c>
      <c r="W198" t="s">
        <v>2883</v>
      </c>
      <c r="X198" t="s">
        <v>2884</v>
      </c>
      <c r="Y198" t="s">
        <v>2885</v>
      </c>
      <c r="Z198" t="s">
        <v>74</v>
      </c>
      <c r="AA198" t="s">
        <v>74</v>
      </c>
      <c r="AB198" t="s">
        <v>74</v>
      </c>
      <c r="AC198" t="s">
        <v>74</v>
      </c>
      <c r="AD198" t="s">
        <v>74</v>
      </c>
      <c r="AE198" t="s">
        <v>74</v>
      </c>
      <c r="AF198" t="s">
        <v>74</v>
      </c>
      <c r="AG198">
        <v>15</v>
      </c>
      <c r="AH198">
        <v>17</v>
      </c>
      <c r="AI198">
        <v>20</v>
      </c>
      <c r="AJ198">
        <v>2</v>
      </c>
      <c r="AK198">
        <v>12</v>
      </c>
      <c r="AL198" t="s">
        <v>1201</v>
      </c>
      <c r="AM198" t="s">
        <v>1202</v>
      </c>
      <c r="AN198" t="s">
        <v>1203</v>
      </c>
      <c r="AO198" t="s">
        <v>2672</v>
      </c>
      <c r="AP198" t="s">
        <v>2727</v>
      </c>
      <c r="AQ198" t="s">
        <v>74</v>
      </c>
      <c r="AR198" t="s">
        <v>2673</v>
      </c>
      <c r="AS198" t="s">
        <v>2674</v>
      </c>
      <c r="AT198" t="s">
        <v>74</v>
      </c>
      <c r="AU198">
        <v>1999</v>
      </c>
      <c r="AV198">
        <v>18</v>
      </c>
      <c r="AW198">
        <v>2</v>
      </c>
      <c r="AX198" t="s">
        <v>74</v>
      </c>
      <c r="AY198" t="s">
        <v>74</v>
      </c>
      <c r="AZ198" t="s">
        <v>74</v>
      </c>
      <c r="BA198" t="s">
        <v>74</v>
      </c>
      <c r="BB198">
        <v>283</v>
      </c>
      <c r="BC198">
        <v>290</v>
      </c>
      <c r="BD198" t="s">
        <v>74</v>
      </c>
      <c r="BE198" t="s">
        <v>2886</v>
      </c>
      <c r="BF198" t="str">
        <f>HYPERLINK("http://dx.doi.org/10.1111/j.1751-8369.1999.tb00305.x","http://dx.doi.org/10.1111/j.1751-8369.1999.tb00305.x")</f>
        <v>http://dx.doi.org/10.1111/j.1751-8369.1999.tb00305.x</v>
      </c>
      <c r="BG198" t="s">
        <v>74</v>
      </c>
      <c r="BH198" t="s">
        <v>74</v>
      </c>
      <c r="BI198">
        <v>8</v>
      </c>
      <c r="BJ198" t="s">
        <v>2676</v>
      </c>
      <c r="BK198" t="s">
        <v>144</v>
      </c>
      <c r="BL198" t="s">
        <v>2677</v>
      </c>
      <c r="BM198" t="s">
        <v>2678</v>
      </c>
      <c r="BN198" t="s">
        <v>74</v>
      </c>
      <c r="BO198" t="s">
        <v>1089</v>
      </c>
      <c r="BP198" t="s">
        <v>74</v>
      </c>
      <c r="BQ198" t="s">
        <v>74</v>
      </c>
      <c r="BR198" t="s">
        <v>98</v>
      </c>
      <c r="BS198" t="s">
        <v>2887</v>
      </c>
      <c r="BT198" t="str">
        <f>HYPERLINK("https%3A%2F%2Fwww.webofscience.com%2Fwos%2Fwoscc%2Ffull-record%2FWOS:000085228300026","View Full Record in Web of Science")</f>
        <v>View Full Record in Web of Science</v>
      </c>
    </row>
    <row r="199" spans="1:72" x14ac:dyDescent="0.15">
      <c r="A199" t="s">
        <v>72</v>
      </c>
      <c r="B199" t="s">
        <v>2888</v>
      </c>
      <c r="C199" t="s">
        <v>74</v>
      </c>
      <c r="D199" t="s">
        <v>74</v>
      </c>
      <c r="E199" t="s">
        <v>74</v>
      </c>
      <c r="F199" t="s">
        <v>2888</v>
      </c>
      <c r="G199" t="s">
        <v>74</v>
      </c>
      <c r="H199" t="s">
        <v>74</v>
      </c>
      <c r="I199" t="s">
        <v>2889</v>
      </c>
      <c r="J199" t="s">
        <v>2666</v>
      </c>
      <c r="K199" t="s">
        <v>74</v>
      </c>
      <c r="L199" t="s">
        <v>74</v>
      </c>
      <c r="M199" t="s">
        <v>77</v>
      </c>
      <c r="N199" t="s">
        <v>123</v>
      </c>
      <c r="O199" t="s">
        <v>2683</v>
      </c>
      <c r="P199" t="s">
        <v>2684</v>
      </c>
      <c r="Q199" t="s">
        <v>2685</v>
      </c>
      <c r="R199" t="s">
        <v>74</v>
      </c>
      <c r="S199" t="s">
        <v>74</v>
      </c>
      <c r="T199" t="s">
        <v>74</v>
      </c>
      <c r="U199" t="s">
        <v>2890</v>
      </c>
      <c r="V199" t="s">
        <v>2891</v>
      </c>
      <c r="W199" t="s">
        <v>2892</v>
      </c>
      <c r="X199" t="s">
        <v>2893</v>
      </c>
      <c r="Y199" t="s">
        <v>2894</v>
      </c>
      <c r="Z199" t="s">
        <v>74</v>
      </c>
      <c r="AA199" t="s">
        <v>74</v>
      </c>
      <c r="AB199" t="s">
        <v>74</v>
      </c>
      <c r="AC199" t="s">
        <v>74</v>
      </c>
      <c r="AD199" t="s">
        <v>74</v>
      </c>
      <c r="AE199" t="s">
        <v>74</v>
      </c>
      <c r="AF199" t="s">
        <v>74</v>
      </c>
      <c r="AG199">
        <v>16</v>
      </c>
      <c r="AH199">
        <v>5</v>
      </c>
      <c r="AI199">
        <v>5</v>
      </c>
      <c r="AJ199">
        <v>0</v>
      </c>
      <c r="AK199">
        <v>3</v>
      </c>
      <c r="AL199" t="s">
        <v>2670</v>
      </c>
      <c r="AM199" t="s">
        <v>1082</v>
      </c>
      <c r="AN199" t="s">
        <v>2671</v>
      </c>
      <c r="AO199" t="s">
        <v>2672</v>
      </c>
      <c r="AP199" t="s">
        <v>74</v>
      </c>
      <c r="AQ199" t="s">
        <v>74</v>
      </c>
      <c r="AR199" t="s">
        <v>2673</v>
      </c>
      <c r="AS199" t="s">
        <v>2674</v>
      </c>
      <c r="AT199" t="s">
        <v>74</v>
      </c>
      <c r="AU199">
        <v>1999</v>
      </c>
      <c r="AV199">
        <v>18</v>
      </c>
      <c r="AW199">
        <v>2</v>
      </c>
      <c r="AX199" t="s">
        <v>74</v>
      </c>
      <c r="AY199" t="s">
        <v>74</v>
      </c>
      <c r="AZ199" t="s">
        <v>74</v>
      </c>
      <c r="BA199" t="s">
        <v>74</v>
      </c>
      <c r="BB199">
        <v>291</v>
      </c>
      <c r="BC199">
        <v>298</v>
      </c>
      <c r="BD199" t="s">
        <v>74</v>
      </c>
      <c r="BE199" t="s">
        <v>2895</v>
      </c>
      <c r="BF199" t="str">
        <f>HYPERLINK("http://dx.doi.org/10.1111/j.1751-8369.1999.tb00306.x","http://dx.doi.org/10.1111/j.1751-8369.1999.tb00306.x")</f>
        <v>http://dx.doi.org/10.1111/j.1751-8369.1999.tb00306.x</v>
      </c>
      <c r="BG199" t="s">
        <v>74</v>
      </c>
      <c r="BH199" t="s">
        <v>74</v>
      </c>
      <c r="BI199">
        <v>8</v>
      </c>
      <c r="BJ199" t="s">
        <v>2676</v>
      </c>
      <c r="BK199" t="s">
        <v>235</v>
      </c>
      <c r="BL199" t="s">
        <v>2677</v>
      </c>
      <c r="BM199" t="s">
        <v>2678</v>
      </c>
      <c r="BN199" t="s">
        <v>74</v>
      </c>
      <c r="BO199" t="s">
        <v>74</v>
      </c>
      <c r="BP199" t="s">
        <v>74</v>
      </c>
      <c r="BQ199" t="s">
        <v>74</v>
      </c>
      <c r="BR199" t="s">
        <v>98</v>
      </c>
      <c r="BS199" t="s">
        <v>2896</v>
      </c>
      <c r="BT199" t="str">
        <f>HYPERLINK("https%3A%2F%2Fwww.webofscience.com%2Fwos%2Fwoscc%2Ffull-record%2FWOS:000085228300027","View Full Record in Web of Science")</f>
        <v>View Full Record in Web of Science</v>
      </c>
    </row>
    <row r="200" spans="1:72" x14ac:dyDescent="0.15">
      <c r="A200" t="s">
        <v>72</v>
      </c>
      <c r="B200" t="s">
        <v>2897</v>
      </c>
      <c r="C200" t="s">
        <v>74</v>
      </c>
      <c r="D200" t="s">
        <v>74</v>
      </c>
      <c r="E200" t="s">
        <v>74</v>
      </c>
      <c r="F200" t="s">
        <v>2897</v>
      </c>
      <c r="G200" t="s">
        <v>74</v>
      </c>
      <c r="H200" t="s">
        <v>74</v>
      </c>
      <c r="I200" t="s">
        <v>2898</v>
      </c>
      <c r="J200" t="s">
        <v>2666</v>
      </c>
      <c r="K200" t="s">
        <v>74</v>
      </c>
      <c r="L200" t="s">
        <v>74</v>
      </c>
      <c r="M200" t="s">
        <v>77</v>
      </c>
      <c r="N200" t="s">
        <v>123</v>
      </c>
      <c r="O200" t="s">
        <v>2683</v>
      </c>
      <c r="P200" t="s">
        <v>2684</v>
      </c>
      <c r="Q200" t="s">
        <v>2685</v>
      </c>
      <c r="R200" t="s">
        <v>74</v>
      </c>
      <c r="S200" t="s">
        <v>74</v>
      </c>
      <c r="T200" t="s">
        <v>74</v>
      </c>
      <c r="U200" t="s">
        <v>2899</v>
      </c>
      <c r="V200" t="s">
        <v>2900</v>
      </c>
      <c r="W200" t="s">
        <v>2901</v>
      </c>
      <c r="X200" t="s">
        <v>2902</v>
      </c>
      <c r="Y200" t="s">
        <v>2903</v>
      </c>
      <c r="Z200" t="s">
        <v>74</v>
      </c>
      <c r="AA200" t="s">
        <v>983</v>
      </c>
      <c r="AB200" t="s">
        <v>984</v>
      </c>
      <c r="AC200" t="s">
        <v>74</v>
      </c>
      <c r="AD200" t="s">
        <v>74</v>
      </c>
      <c r="AE200" t="s">
        <v>74</v>
      </c>
      <c r="AF200" t="s">
        <v>74</v>
      </c>
      <c r="AG200">
        <v>30</v>
      </c>
      <c r="AH200">
        <v>16</v>
      </c>
      <c r="AI200">
        <v>19</v>
      </c>
      <c r="AJ200">
        <v>0</v>
      </c>
      <c r="AK200">
        <v>0</v>
      </c>
      <c r="AL200" t="s">
        <v>1201</v>
      </c>
      <c r="AM200" t="s">
        <v>1202</v>
      </c>
      <c r="AN200" t="s">
        <v>1203</v>
      </c>
      <c r="AO200" t="s">
        <v>2672</v>
      </c>
      <c r="AP200" t="s">
        <v>2727</v>
      </c>
      <c r="AQ200" t="s">
        <v>74</v>
      </c>
      <c r="AR200" t="s">
        <v>2673</v>
      </c>
      <c r="AS200" t="s">
        <v>2674</v>
      </c>
      <c r="AT200" t="s">
        <v>74</v>
      </c>
      <c r="AU200">
        <v>1999</v>
      </c>
      <c r="AV200">
        <v>18</v>
      </c>
      <c r="AW200">
        <v>2</v>
      </c>
      <c r="AX200" t="s">
        <v>74</v>
      </c>
      <c r="AY200" t="s">
        <v>74</v>
      </c>
      <c r="AZ200" t="s">
        <v>74</v>
      </c>
      <c r="BA200" t="s">
        <v>74</v>
      </c>
      <c r="BB200">
        <v>299</v>
      </c>
      <c r="BC200">
        <v>306</v>
      </c>
      <c r="BD200" t="s">
        <v>74</v>
      </c>
      <c r="BE200" t="s">
        <v>2904</v>
      </c>
      <c r="BF200" t="str">
        <f>HYPERLINK("http://dx.doi.org/10.1111/j.1751-8369.1999.tb00307.x","http://dx.doi.org/10.1111/j.1751-8369.1999.tb00307.x")</f>
        <v>http://dx.doi.org/10.1111/j.1751-8369.1999.tb00307.x</v>
      </c>
      <c r="BG200" t="s">
        <v>74</v>
      </c>
      <c r="BH200" t="s">
        <v>74</v>
      </c>
      <c r="BI200">
        <v>8</v>
      </c>
      <c r="BJ200" t="s">
        <v>2676</v>
      </c>
      <c r="BK200" t="s">
        <v>144</v>
      </c>
      <c r="BL200" t="s">
        <v>2677</v>
      </c>
      <c r="BM200" t="s">
        <v>2678</v>
      </c>
      <c r="BN200" t="s">
        <v>74</v>
      </c>
      <c r="BO200" t="s">
        <v>2905</v>
      </c>
      <c r="BP200" t="s">
        <v>74</v>
      </c>
      <c r="BQ200" t="s">
        <v>74</v>
      </c>
      <c r="BR200" t="s">
        <v>98</v>
      </c>
      <c r="BS200" t="s">
        <v>2906</v>
      </c>
      <c r="BT200" t="str">
        <f>HYPERLINK("https%3A%2F%2Fwww.webofscience.com%2Fwos%2Fwoscc%2Ffull-record%2FWOS:000085228300028","View Full Record in Web of Science")</f>
        <v>View Full Record in Web of Science</v>
      </c>
    </row>
    <row r="201" spans="1:72" x14ac:dyDescent="0.15">
      <c r="A201" t="s">
        <v>72</v>
      </c>
      <c r="B201" t="s">
        <v>2907</v>
      </c>
      <c r="C201" t="s">
        <v>74</v>
      </c>
      <c r="D201" t="s">
        <v>74</v>
      </c>
      <c r="E201" t="s">
        <v>74</v>
      </c>
      <c r="F201" t="s">
        <v>2907</v>
      </c>
      <c r="G201" t="s">
        <v>74</v>
      </c>
      <c r="H201" t="s">
        <v>74</v>
      </c>
      <c r="I201" t="s">
        <v>2908</v>
      </c>
      <c r="J201" t="s">
        <v>2666</v>
      </c>
      <c r="K201" t="s">
        <v>74</v>
      </c>
      <c r="L201" t="s">
        <v>74</v>
      </c>
      <c r="M201" t="s">
        <v>77</v>
      </c>
      <c r="N201" t="s">
        <v>123</v>
      </c>
      <c r="O201" t="s">
        <v>2683</v>
      </c>
      <c r="P201" t="s">
        <v>2684</v>
      </c>
      <c r="Q201" t="s">
        <v>2685</v>
      </c>
      <c r="R201" t="s">
        <v>74</v>
      </c>
      <c r="S201" t="s">
        <v>74</v>
      </c>
      <c r="T201" t="s">
        <v>74</v>
      </c>
      <c r="U201" t="s">
        <v>2909</v>
      </c>
      <c r="V201" t="s">
        <v>2910</v>
      </c>
      <c r="W201" t="s">
        <v>2911</v>
      </c>
      <c r="X201" t="s">
        <v>2912</v>
      </c>
      <c r="Y201" t="s">
        <v>2913</v>
      </c>
      <c r="Z201" t="s">
        <v>74</v>
      </c>
      <c r="AA201" t="s">
        <v>74</v>
      </c>
      <c r="AB201" t="s">
        <v>74</v>
      </c>
      <c r="AC201" t="s">
        <v>74</v>
      </c>
      <c r="AD201" t="s">
        <v>74</v>
      </c>
      <c r="AE201" t="s">
        <v>74</v>
      </c>
      <c r="AF201" t="s">
        <v>74</v>
      </c>
      <c r="AG201">
        <v>24</v>
      </c>
      <c r="AH201">
        <v>57</v>
      </c>
      <c r="AI201">
        <v>64</v>
      </c>
      <c r="AJ201">
        <v>0</v>
      </c>
      <c r="AK201">
        <v>13</v>
      </c>
      <c r="AL201" t="s">
        <v>2670</v>
      </c>
      <c r="AM201" t="s">
        <v>1082</v>
      </c>
      <c r="AN201" t="s">
        <v>2671</v>
      </c>
      <c r="AO201" t="s">
        <v>2672</v>
      </c>
      <c r="AP201" t="s">
        <v>74</v>
      </c>
      <c r="AQ201" t="s">
        <v>74</v>
      </c>
      <c r="AR201" t="s">
        <v>2673</v>
      </c>
      <c r="AS201" t="s">
        <v>2674</v>
      </c>
      <c r="AT201" t="s">
        <v>74</v>
      </c>
      <c r="AU201">
        <v>1999</v>
      </c>
      <c r="AV201">
        <v>18</v>
      </c>
      <c r="AW201">
        <v>2</v>
      </c>
      <c r="AX201" t="s">
        <v>74</v>
      </c>
      <c r="AY201" t="s">
        <v>74</v>
      </c>
      <c r="AZ201" t="s">
        <v>74</v>
      </c>
      <c r="BA201" t="s">
        <v>74</v>
      </c>
      <c r="BB201">
        <v>307</v>
      </c>
      <c r="BC201">
        <v>313</v>
      </c>
      <c r="BD201" t="s">
        <v>74</v>
      </c>
      <c r="BE201" t="s">
        <v>2914</v>
      </c>
      <c r="BF201" t="str">
        <f>HYPERLINK("http://dx.doi.org/10.1111/j.1751-8369.1999.tb00308.x","http://dx.doi.org/10.1111/j.1751-8369.1999.tb00308.x")</f>
        <v>http://dx.doi.org/10.1111/j.1751-8369.1999.tb00308.x</v>
      </c>
      <c r="BG201" t="s">
        <v>74</v>
      </c>
      <c r="BH201" t="s">
        <v>74</v>
      </c>
      <c r="BI201">
        <v>7</v>
      </c>
      <c r="BJ201" t="s">
        <v>2676</v>
      </c>
      <c r="BK201" t="s">
        <v>235</v>
      </c>
      <c r="BL201" t="s">
        <v>2677</v>
      </c>
      <c r="BM201" t="s">
        <v>2678</v>
      </c>
      <c r="BN201" t="s">
        <v>74</v>
      </c>
      <c r="BO201" t="s">
        <v>1089</v>
      </c>
      <c r="BP201" t="s">
        <v>74</v>
      </c>
      <c r="BQ201" t="s">
        <v>74</v>
      </c>
      <c r="BR201" t="s">
        <v>98</v>
      </c>
      <c r="BS201" t="s">
        <v>2915</v>
      </c>
      <c r="BT201" t="str">
        <f>HYPERLINK("https%3A%2F%2Fwww.webofscience.com%2Fwos%2Fwoscc%2Ffull-record%2FWOS:000085228300029","View Full Record in Web of Science")</f>
        <v>View Full Record in Web of Science</v>
      </c>
    </row>
    <row r="202" spans="1:72" x14ac:dyDescent="0.15">
      <c r="A202" t="s">
        <v>72</v>
      </c>
      <c r="B202" t="s">
        <v>2916</v>
      </c>
      <c r="C202" t="s">
        <v>74</v>
      </c>
      <c r="D202" t="s">
        <v>74</v>
      </c>
      <c r="E202" t="s">
        <v>74</v>
      </c>
      <c r="F202" t="s">
        <v>2916</v>
      </c>
      <c r="G202" t="s">
        <v>74</v>
      </c>
      <c r="H202" t="s">
        <v>74</v>
      </c>
      <c r="I202" t="s">
        <v>2917</v>
      </c>
      <c r="J202" t="s">
        <v>2666</v>
      </c>
      <c r="K202" t="s">
        <v>74</v>
      </c>
      <c r="L202" t="s">
        <v>74</v>
      </c>
      <c r="M202" t="s">
        <v>77</v>
      </c>
      <c r="N202" t="s">
        <v>123</v>
      </c>
      <c r="O202" t="s">
        <v>2683</v>
      </c>
      <c r="P202" t="s">
        <v>2684</v>
      </c>
      <c r="Q202" t="s">
        <v>2685</v>
      </c>
      <c r="R202" t="s">
        <v>74</v>
      </c>
      <c r="S202" t="s">
        <v>74</v>
      </c>
      <c r="T202" t="s">
        <v>74</v>
      </c>
      <c r="U202" t="s">
        <v>2918</v>
      </c>
      <c r="V202" t="s">
        <v>2919</v>
      </c>
      <c r="W202" t="s">
        <v>2920</v>
      </c>
      <c r="X202" t="s">
        <v>2921</v>
      </c>
      <c r="Y202" t="s">
        <v>2922</v>
      </c>
      <c r="Z202" t="s">
        <v>74</v>
      </c>
      <c r="AA202" t="s">
        <v>2923</v>
      </c>
      <c r="AB202" t="s">
        <v>2924</v>
      </c>
      <c r="AC202" t="s">
        <v>74</v>
      </c>
      <c r="AD202" t="s">
        <v>74</v>
      </c>
      <c r="AE202" t="s">
        <v>74</v>
      </c>
      <c r="AF202" t="s">
        <v>74</v>
      </c>
      <c r="AG202">
        <v>28</v>
      </c>
      <c r="AH202">
        <v>48</v>
      </c>
      <c r="AI202">
        <v>49</v>
      </c>
      <c r="AJ202">
        <v>1</v>
      </c>
      <c r="AK202">
        <v>15</v>
      </c>
      <c r="AL202" t="s">
        <v>1201</v>
      </c>
      <c r="AM202" t="s">
        <v>1202</v>
      </c>
      <c r="AN202" t="s">
        <v>1203</v>
      </c>
      <c r="AO202" t="s">
        <v>2672</v>
      </c>
      <c r="AP202" t="s">
        <v>2727</v>
      </c>
      <c r="AQ202" t="s">
        <v>74</v>
      </c>
      <c r="AR202" t="s">
        <v>2673</v>
      </c>
      <c r="AS202" t="s">
        <v>2674</v>
      </c>
      <c r="AT202" t="s">
        <v>74</v>
      </c>
      <c r="AU202">
        <v>1999</v>
      </c>
      <c r="AV202">
        <v>18</v>
      </c>
      <c r="AW202">
        <v>2</v>
      </c>
      <c r="AX202" t="s">
        <v>74</v>
      </c>
      <c r="AY202" t="s">
        <v>74</v>
      </c>
      <c r="AZ202" t="s">
        <v>74</v>
      </c>
      <c r="BA202" t="s">
        <v>74</v>
      </c>
      <c r="BB202">
        <v>315</v>
      </c>
      <c r="BC202">
        <v>321</v>
      </c>
      <c r="BD202" t="s">
        <v>74</v>
      </c>
      <c r="BE202" t="s">
        <v>2925</v>
      </c>
      <c r="BF202" t="str">
        <f>HYPERLINK("http://dx.doi.org/10.1111/j.1751-8369.1999.tb00309.x","http://dx.doi.org/10.1111/j.1751-8369.1999.tb00309.x")</f>
        <v>http://dx.doi.org/10.1111/j.1751-8369.1999.tb00309.x</v>
      </c>
      <c r="BG202" t="s">
        <v>74</v>
      </c>
      <c r="BH202" t="s">
        <v>74</v>
      </c>
      <c r="BI202">
        <v>7</v>
      </c>
      <c r="BJ202" t="s">
        <v>2676</v>
      </c>
      <c r="BK202" t="s">
        <v>144</v>
      </c>
      <c r="BL202" t="s">
        <v>2677</v>
      </c>
      <c r="BM202" t="s">
        <v>2678</v>
      </c>
      <c r="BN202" t="s">
        <v>74</v>
      </c>
      <c r="BO202" t="s">
        <v>1429</v>
      </c>
      <c r="BP202" t="s">
        <v>74</v>
      </c>
      <c r="BQ202" t="s">
        <v>74</v>
      </c>
      <c r="BR202" t="s">
        <v>98</v>
      </c>
      <c r="BS202" t="s">
        <v>2926</v>
      </c>
      <c r="BT202" t="str">
        <f>HYPERLINK("https%3A%2F%2Fwww.webofscience.com%2Fwos%2Fwoscc%2Ffull-record%2FWOS:000085228300030","View Full Record in Web of Science")</f>
        <v>View Full Record in Web of Science</v>
      </c>
    </row>
    <row r="203" spans="1:72" x14ac:dyDescent="0.15">
      <c r="A203" t="s">
        <v>72</v>
      </c>
      <c r="B203" t="s">
        <v>2927</v>
      </c>
      <c r="C203" t="s">
        <v>74</v>
      </c>
      <c r="D203" t="s">
        <v>74</v>
      </c>
      <c r="E203" t="s">
        <v>74</v>
      </c>
      <c r="F203" t="s">
        <v>2927</v>
      </c>
      <c r="G203" t="s">
        <v>74</v>
      </c>
      <c r="H203" t="s">
        <v>74</v>
      </c>
      <c r="I203" t="s">
        <v>2928</v>
      </c>
      <c r="J203" t="s">
        <v>2666</v>
      </c>
      <c r="K203" t="s">
        <v>74</v>
      </c>
      <c r="L203" t="s">
        <v>74</v>
      </c>
      <c r="M203" t="s">
        <v>77</v>
      </c>
      <c r="N203" t="s">
        <v>123</v>
      </c>
      <c r="O203" t="s">
        <v>2683</v>
      </c>
      <c r="P203" t="s">
        <v>2684</v>
      </c>
      <c r="Q203" t="s">
        <v>2685</v>
      </c>
      <c r="R203" t="s">
        <v>74</v>
      </c>
      <c r="S203" t="s">
        <v>74</v>
      </c>
      <c r="T203" t="s">
        <v>74</v>
      </c>
      <c r="U203" t="s">
        <v>2929</v>
      </c>
      <c r="V203" t="s">
        <v>2930</v>
      </c>
      <c r="W203" t="s">
        <v>2931</v>
      </c>
      <c r="X203" t="s">
        <v>2932</v>
      </c>
      <c r="Y203" t="s">
        <v>2933</v>
      </c>
      <c r="Z203" t="s">
        <v>74</v>
      </c>
      <c r="AA203" t="s">
        <v>2934</v>
      </c>
      <c r="AB203" t="s">
        <v>2935</v>
      </c>
      <c r="AC203" t="s">
        <v>74</v>
      </c>
      <c r="AD203" t="s">
        <v>74</v>
      </c>
      <c r="AE203" t="s">
        <v>74</v>
      </c>
      <c r="AF203" t="s">
        <v>74</v>
      </c>
      <c r="AG203">
        <v>88</v>
      </c>
      <c r="AH203">
        <v>21</v>
      </c>
      <c r="AI203">
        <v>22</v>
      </c>
      <c r="AJ203">
        <v>0</v>
      </c>
      <c r="AK203">
        <v>7</v>
      </c>
      <c r="AL203" t="s">
        <v>1201</v>
      </c>
      <c r="AM203" t="s">
        <v>1202</v>
      </c>
      <c r="AN203" t="s">
        <v>1203</v>
      </c>
      <c r="AO203" t="s">
        <v>2672</v>
      </c>
      <c r="AP203" t="s">
        <v>2727</v>
      </c>
      <c r="AQ203" t="s">
        <v>74</v>
      </c>
      <c r="AR203" t="s">
        <v>2673</v>
      </c>
      <c r="AS203" t="s">
        <v>2674</v>
      </c>
      <c r="AT203" t="s">
        <v>74</v>
      </c>
      <c r="AU203">
        <v>1999</v>
      </c>
      <c r="AV203">
        <v>18</v>
      </c>
      <c r="AW203">
        <v>2</v>
      </c>
      <c r="AX203" t="s">
        <v>74</v>
      </c>
      <c r="AY203" t="s">
        <v>74</v>
      </c>
      <c r="AZ203" t="s">
        <v>74</v>
      </c>
      <c r="BA203" t="s">
        <v>74</v>
      </c>
      <c r="BB203">
        <v>323</v>
      </c>
      <c r="BC203">
        <v>330</v>
      </c>
      <c r="BD203" t="s">
        <v>74</v>
      </c>
      <c r="BE203" t="s">
        <v>2936</v>
      </c>
      <c r="BF203" t="str">
        <f>HYPERLINK("http://dx.doi.org/10.1111/j.1751-8369.1999.tb00310.x","http://dx.doi.org/10.1111/j.1751-8369.1999.tb00310.x")</f>
        <v>http://dx.doi.org/10.1111/j.1751-8369.1999.tb00310.x</v>
      </c>
      <c r="BG203" t="s">
        <v>74</v>
      </c>
      <c r="BH203" t="s">
        <v>74</v>
      </c>
      <c r="BI203">
        <v>8</v>
      </c>
      <c r="BJ203" t="s">
        <v>2676</v>
      </c>
      <c r="BK203" t="s">
        <v>144</v>
      </c>
      <c r="BL203" t="s">
        <v>2677</v>
      </c>
      <c r="BM203" t="s">
        <v>2678</v>
      </c>
      <c r="BN203" t="s">
        <v>74</v>
      </c>
      <c r="BO203" t="s">
        <v>1429</v>
      </c>
      <c r="BP203" t="s">
        <v>74</v>
      </c>
      <c r="BQ203" t="s">
        <v>74</v>
      </c>
      <c r="BR203" t="s">
        <v>98</v>
      </c>
      <c r="BS203" t="s">
        <v>2937</v>
      </c>
      <c r="BT203" t="str">
        <f>HYPERLINK("https%3A%2F%2Fwww.webofscience.com%2Fwos%2Fwoscc%2Ffull-record%2FWOS:000085228300031","View Full Record in Web of Science")</f>
        <v>View Full Record in Web of Science</v>
      </c>
    </row>
    <row r="204" spans="1:72" x14ac:dyDescent="0.15">
      <c r="A204" t="s">
        <v>72</v>
      </c>
      <c r="B204" t="s">
        <v>2938</v>
      </c>
      <c r="C204" t="s">
        <v>74</v>
      </c>
      <c r="D204" t="s">
        <v>74</v>
      </c>
      <c r="E204" t="s">
        <v>74</v>
      </c>
      <c r="F204" t="s">
        <v>2938</v>
      </c>
      <c r="G204" t="s">
        <v>74</v>
      </c>
      <c r="H204" t="s">
        <v>74</v>
      </c>
      <c r="I204" t="s">
        <v>2939</v>
      </c>
      <c r="J204" t="s">
        <v>2666</v>
      </c>
      <c r="K204" t="s">
        <v>74</v>
      </c>
      <c r="L204" t="s">
        <v>74</v>
      </c>
      <c r="M204" t="s">
        <v>77</v>
      </c>
      <c r="N204" t="s">
        <v>123</v>
      </c>
      <c r="O204" t="s">
        <v>2683</v>
      </c>
      <c r="P204" t="s">
        <v>2684</v>
      </c>
      <c r="Q204" t="s">
        <v>2685</v>
      </c>
      <c r="R204" t="s">
        <v>74</v>
      </c>
      <c r="S204" t="s">
        <v>74</v>
      </c>
      <c r="T204" t="s">
        <v>74</v>
      </c>
      <c r="U204" t="s">
        <v>2940</v>
      </c>
      <c r="V204" t="s">
        <v>2941</v>
      </c>
      <c r="W204" t="s">
        <v>2942</v>
      </c>
      <c r="X204" t="s">
        <v>2943</v>
      </c>
      <c r="Y204" t="s">
        <v>2944</v>
      </c>
      <c r="Z204" t="s">
        <v>74</v>
      </c>
      <c r="AA204" t="s">
        <v>2945</v>
      </c>
      <c r="AB204" t="s">
        <v>2946</v>
      </c>
      <c r="AC204" t="s">
        <v>74</v>
      </c>
      <c r="AD204" t="s">
        <v>74</v>
      </c>
      <c r="AE204" t="s">
        <v>74</v>
      </c>
      <c r="AF204" t="s">
        <v>74</v>
      </c>
      <c r="AG204">
        <v>23</v>
      </c>
      <c r="AH204">
        <v>26</v>
      </c>
      <c r="AI204">
        <v>27</v>
      </c>
      <c r="AJ204">
        <v>0</v>
      </c>
      <c r="AK204">
        <v>8</v>
      </c>
      <c r="AL204" t="s">
        <v>2670</v>
      </c>
      <c r="AM204" t="s">
        <v>2779</v>
      </c>
      <c r="AN204" t="s">
        <v>2780</v>
      </c>
      <c r="AO204" t="s">
        <v>2672</v>
      </c>
      <c r="AP204" t="s">
        <v>2727</v>
      </c>
      <c r="AQ204" t="s">
        <v>74</v>
      </c>
      <c r="AR204" t="s">
        <v>2673</v>
      </c>
      <c r="AS204" t="s">
        <v>2674</v>
      </c>
      <c r="AT204" t="s">
        <v>74</v>
      </c>
      <c r="AU204">
        <v>1999</v>
      </c>
      <c r="AV204">
        <v>18</v>
      </c>
      <c r="AW204">
        <v>2</v>
      </c>
      <c r="AX204" t="s">
        <v>74</v>
      </c>
      <c r="AY204" t="s">
        <v>74</v>
      </c>
      <c r="AZ204" t="s">
        <v>74</v>
      </c>
      <c r="BA204" t="s">
        <v>74</v>
      </c>
      <c r="BB204">
        <v>331</v>
      </c>
      <c r="BC204">
        <v>337</v>
      </c>
      <c r="BD204" t="s">
        <v>74</v>
      </c>
      <c r="BE204" t="s">
        <v>2947</v>
      </c>
      <c r="BF204" t="str">
        <f>HYPERLINK("http://dx.doi.org/10.1111/j.1751-8369.1999.tb00311.x","http://dx.doi.org/10.1111/j.1751-8369.1999.tb00311.x")</f>
        <v>http://dx.doi.org/10.1111/j.1751-8369.1999.tb00311.x</v>
      </c>
      <c r="BG204" t="s">
        <v>74</v>
      </c>
      <c r="BH204" t="s">
        <v>74</v>
      </c>
      <c r="BI204">
        <v>7</v>
      </c>
      <c r="BJ204" t="s">
        <v>2676</v>
      </c>
      <c r="BK204" t="s">
        <v>144</v>
      </c>
      <c r="BL204" t="s">
        <v>2677</v>
      </c>
      <c r="BM204" t="s">
        <v>2678</v>
      </c>
      <c r="BN204" t="s">
        <v>74</v>
      </c>
      <c r="BO204" t="s">
        <v>1089</v>
      </c>
      <c r="BP204" t="s">
        <v>74</v>
      </c>
      <c r="BQ204" t="s">
        <v>74</v>
      </c>
      <c r="BR204" t="s">
        <v>98</v>
      </c>
      <c r="BS204" t="s">
        <v>2948</v>
      </c>
      <c r="BT204" t="str">
        <f>HYPERLINK("https%3A%2F%2Fwww.webofscience.com%2Fwos%2Fwoscc%2Ffull-record%2FWOS:000085228300032","View Full Record in Web of Science")</f>
        <v>View Full Record in Web of Science</v>
      </c>
    </row>
    <row r="205" spans="1:72" x14ac:dyDescent="0.15">
      <c r="A205" t="s">
        <v>72</v>
      </c>
      <c r="B205" t="s">
        <v>2949</v>
      </c>
      <c r="C205" t="s">
        <v>74</v>
      </c>
      <c r="D205" t="s">
        <v>74</v>
      </c>
      <c r="E205" t="s">
        <v>74</v>
      </c>
      <c r="F205" t="s">
        <v>2949</v>
      </c>
      <c r="G205" t="s">
        <v>74</v>
      </c>
      <c r="H205" t="s">
        <v>74</v>
      </c>
      <c r="I205" t="s">
        <v>2950</v>
      </c>
      <c r="J205" t="s">
        <v>2666</v>
      </c>
      <c r="K205" t="s">
        <v>74</v>
      </c>
      <c r="L205" t="s">
        <v>74</v>
      </c>
      <c r="M205" t="s">
        <v>77</v>
      </c>
      <c r="N205" t="s">
        <v>123</v>
      </c>
      <c r="O205" t="s">
        <v>2683</v>
      </c>
      <c r="P205" t="s">
        <v>2684</v>
      </c>
      <c r="Q205" t="s">
        <v>2685</v>
      </c>
      <c r="R205" t="s">
        <v>74</v>
      </c>
      <c r="S205" t="s">
        <v>74</v>
      </c>
      <c r="T205" t="s">
        <v>74</v>
      </c>
      <c r="U205" t="s">
        <v>2951</v>
      </c>
      <c r="V205" t="s">
        <v>2952</v>
      </c>
      <c r="W205" t="s">
        <v>2953</v>
      </c>
      <c r="X205" t="s">
        <v>2954</v>
      </c>
      <c r="Y205" t="s">
        <v>2955</v>
      </c>
      <c r="Z205" t="s">
        <v>74</v>
      </c>
      <c r="AA205" t="s">
        <v>2956</v>
      </c>
      <c r="AB205" t="s">
        <v>74</v>
      </c>
      <c r="AC205" t="s">
        <v>74</v>
      </c>
      <c r="AD205" t="s">
        <v>74</v>
      </c>
      <c r="AE205" t="s">
        <v>74</v>
      </c>
      <c r="AF205" t="s">
        <v>74</v>
      </c>
      <c r="AG205">
        <v>24</v>
      </c>
      <c r="AH205">
        <v>3</v>
      </c>
      <c r="AI205">
        <v>3</v>
      </c>
      <c r="AJ205">
        <v>0</v>
      </c>
      <c r="AK205">
        <v>0</v>
      </c>
      <c r="AL205" t="s">
        <v>2811</v>
      </c>
      <c r="AM205" t="s">
        <v>2812</v>
      </c>
      <c r="AN205" t="s">
        <v>2813</v>
      </c>
      <c r="AO205" t="s">
        <v>2672</v>
      </c>
      <c r="AP205" t="s">
        <v>74</v>
      </c>
      <c r="AQ205" t="s">
        <v>74</v>
      </c>
      <c r="AR205" t="s">
        <v>2673</v>
      </c>
      <c r="AS205" t="s">
        <v>2674</v>
      </c>
      <c r="AT205" t="s">
        <v>74</v>
      </c>
      <c r="AU205">
        <v>1999</v>
      </c>
      <c r="AV205">
        <v>18</v>
      </c>
      <c r="AW205">
        <v>2</v>
      </c>
      <c r="AX205" t="s">
        <v>74</v>
      </c>
      <c r="AY205" t="s">
        <v>74</v>
      </c>
      <c r="AZ205" t="s">
        <v>74</v>
      </c>
      <c r="BA205" t="s">
        <v>74</v>
      </c>
      <c r="BB205">
        <v>339</v>
      </c>
      <c r="BC205">
        <v>343</v>
      </c>
      <c r="BD205" t="s">
        <v>74</v>
      </c>
      <c r="BE205" t="s">
        <v>2957</v>
      </c>
      <c r="BF205" t="str">
        <f>HYPERLINK("http://dx.doi.org/10.1111/j.1751-8369.1999.tb00312.x","http://dx.doi.org/10.1111/j.1751-8369.1999.tb00312.x")</f>
        <v>http://dx.doi.org/10.1111/j.1751-8369.1999.tb00312.x</v>
      </c>
      <c r="BG205" t="s">
        <v>74</v>
      </c>
      <c r="BH205" t="s">
        <v>74</v>
      </c>
      <c r="BI205">
        <v>5</v>
      </c>
      <c r="BJ205" t="s">
        <v>2676</v>
      </c>
      <c r="BK205" t="s">
        <v>144</v>
      </c>
      <c r="BL205" t="s">
        <v>2677</v>
      </c>
      <c r="BM205" t="s">
        <v>2678</v>
      </c>
      <c r="BN205" t="s">
        <v>74</v>
      </c>
      <c r="BO205" t="s">
        <v>74</v>
      </c>
      <c r="BP205" t="s">
        <v>74</v>
      </c>
      <c r="BQ205" t="s">
        <v>74</v>
      </c>
      <c r="BR205" t="s">
        <v>98</v>
      </c>
      <c r="BS205" t="s">
        <v>2958</v>
      </c>
      <c r="BT205" t="str">
        <f>HYPERLINK("https%3A%2F%2Fwww.webofscience.com%2Fwos%2Fwoscc%2Ffull-record%2FWOS:000085228300033","View Full Record in Web of Science")</f>
        <v>View Full Record in Web of Science</v>
      </c>
    </row>
    <row r="206" spans="1:72" x14ac:dyDescent="0.15">
      <c r="A206" t="s">
        <v>72</v>
      </c>
      <c r="B206" t="s">
        <v>2959</v>
      </c>
      <c r="C206" t="s">
        <v>74</v>
      </c>
      <c r="D206" t="s">
        <v>74</v>
      </c>
      <c r="E206" t="s">
        <v>74</v>
      </c>
      <c r="F206" t="s">
        <v>2959</v>
      </c>
      <c r="G206" t="s">
        <v>74</v>
      </c>
      <c r="H206" t="s">
        <v>74</v>
      </c>
      <c r="I206" t="s">
        <v>2960</v>
      </c>
      <c r="J206" t="s">
        <v>2666</v>
      </c>
      <c r="K206" t="s">
        <v>74</v>
      </c>
      <c r="L206" t="s">
        <v>74</v>
      </c>
      <c r="M206" t="s">
        <v>77</v>
      </c>
      <c r="N206" t="s">
        <v>123</v>
      </c>
      <c r="O206" t="s">
        <v>2683</v>
      </c>
      <c r="P206" t="s">
        <v>2684</v>
      </c>
      <c r="Q206" t="s">
        <v>2685</v>
      </c>
      <c r="R206" t="s">
        <v>74</v>
      </c>
      <c r="S206" t="s">
        <v>74</v>
      </c>
      <c r="T206" t="s">
        <v>74</v>
      </c>
      <c r="U206" t="s">
        <v>2961</v>
      </c>
      <c r="V206" t="s">
        <v>2962</v>
      </c>
      <c r="W206" t="s">
        <v>2963</v>
      </c>
      <c r="X206" t="s">
        <v>2964</v>
      </c>
      <c r="Y206" t="s">
        <v>2965</v>
      </c>
      <c r="Z206" t="s">
        <v>74</v>
      </c>
      <c r="AA206" t="s">
        <v>2966</v>
      </c>
      <c r="AB206" t="s">
        <v>2967</v>
      </c>
      <c r="AC206" t="s">
        <v>74</v>
      </c>
      <c r="AD206" t="s">
        <v>74</v>
      </c>
      <c r="AE206" t="s">
        <v>74</v>
      </c>
      <c r="AF206" t="s">
        <v>74</v>
      </c>
      <c r="AG206">
        <v>34</v>
      </c>
      <c r="AH206">
        <v>43</v>
      </c>
      <c r="AI206">
        <v>49</v>
      </c>
      <c r="AJ206">
        <v>0</v>
      </c>
      <c r="AK206">
        <v>13</v>
      </c>
      <c r="AL206" t="s">
        <v>2670</v>
      </c>
      <c r="AM206" t="s">
        <v>1082</v>
      </c>
      <c r="AN206" t="s">
        <v>2671</v>
      </c>
      <c r="AO206" t="s">
        <v>2672</v>
      </c>
      <c r="AP206" t="s">
        <v>74</v>
      </c>
      <c r="AQ206" t="s">
        <v>74</v>
      </c>
      <c r="AR206" t="s">
        <v>2673</v>
      </c>
      <c r="AS206" t="s">
        <v>2674</v>
      </c>
      <c r="AT206" t="s">
        <v>74</v>
      </c>
      <c r="AU206">
        <v>1999</v>
      </c>
      <c r="AV206">
        <v>18</v>
      </c>
      <c r="AW206">
        <v>2</v>
      </c>
      <c r="AX206" t="s">
        <v>74</v>
      </c>
      <c r="AY206" t="s">
        <v>74</v>
      </c>
      <c r="AZ206" t="s">
        <v>74</v>
      </c>
      <c r="BA206" t="s">
        <v>74</v>
      </c>
      <c r="BB206">
        <v>345</v>
      </c>
      <c r="BC206">
        <v>352</v>
      </c>
      <c r="BD206" t="s">
        <v>74</v>
      </c>
      <c r="BE206" t="s">
        <v>2968</v>
      </c>
      <c r="BF206" t="str">
        <f>HYPERLINK("http://dx.doi.org/10.1111/j.1751-8369.1999.tb00313.x","http://dx.doi.org/10.1111/j.1751-8369.1999.tb00313.x")</f>
        <v>http://dx.doi.org/10.1111/j.1751-8369.1999.tb00313.x</v>
      </c>
      <c r="BG206" t="s">
        <v>74</v>
      </c>
      <c r="BH206" t="s">
        <v>74</v>
      </c>
      <c r="BI206">
        <v>8</v>
      </c>
      <c r="BJ206" t="s">
        <v>2676</v>
      </c>
      <c r="BK206" t="s">
        <v>235</v>
      </c>
      <c r="BL206" t="s">
        <v>2677</v>
      </c>
      <c r="BM206" t="s">
        <v>2678</v>
      </c>
      <c r="BN206" t="s">
        <v>74</v>
      </c>
      <c r="BO206" t="s">
        <v>74</v>
      </c>
      <c r="BP206" t="s">
        <v>74</v>
      </c>
      <c r="BQ206" t="s">
        <v>74</v>
      </c>
      <c r="BR206" t="s">
        <v>98</v>
      </c>
      <c r="BS206" t="s">
        <v>2969</v>
      </c>
      <c r="BT206" t="str">
        <f>HYPERLINK("https%3A%2F%2Fwww.webofscience.com%2Fwos%2Fwoscc%2Ffull-record%2FWOS:000085228300034","View Full Record in Web of Science")</f>
        <v>View Full Record in Web of Science</v>
      </c>
    </row>
    <row r="207" spans="1:72" x14ac:dyDescent="0.15">
      <c r="A207" t="s">
        <v>72</v>
      </c>
      <c r="B207" t="s">
        <v>2970</v>
      </c>
      <c r="C207" t="s">
        <v>74</v>
      </c>
      <c r="D207" t="s">
        <v>74</v>
      </c>
      <c r="E207" t="s">
        <v>74</v>
      </c>
      <c r="F207" t="s">
        <v>2970</v>
      </c>
      <c r="G207" t="s">
        <v>74</v>
      </c>
      <c r="H207" t="s">
        <v>74</v>
      </c>
      <c r="I207" t="s">
        <v>2971</v>
      </c>
      <c r="J207" t="s">
        <v>2666</v>
      </c>
      <c r="K207" t="s">
        <v>74</v>
      </c>
      <c r="L207" t="s">
        <v>74</v>
      </c>
      <c r="M207" t="s">
        <v>77</v>
      </c>
      <c r="N207" t="s">
        <v>123</v>
      </c>
      <c r="O207" t="s">
        <v>2683</v>
      </c>
      <c r="P207" t="s">
        <v>2684</v>
      </c>
      <c r="Q207" t="s">
        <v>2685</v>
      </c>
      <c r="R207" t="s">
        <v>74</v>
      </c>
      <c r="S207" t="s">
        <v>74</v>
      </c>
      <c r="T207" t="s">
        <v>74</v>
      </c>
      <c r="U207" t="s">
        <v>2972</v>
      </c>
      <c r="V207" t="s">
        <v>2973</v>
      </c>
      <c r="W207" t="s">
        <v>2974</v>
      </c>
      <c r="X207" t="s">
        <v>2975</v>
      </c>
      <c r="Y207" t="s">
        <v>2976</v>
      </c>
      <c r="Z207" t="s">
        <v>74</v>
      </c>
      <c r="AA207" t="s">
        <v>74</v>
      </c>
      <c r="AB207" t="s">
        <v>74</v>
      </c>
      <c r="AC207" t="s">
        <v>74</v>
      </c>
      <c r="AD207" t="s">
        <v>74</v>
      </c>
      <c r="AE207" t="s">
        <v>74</v>
      </c>
      <c r="AF207" t="s">
        <v>74</v>
      </c>
      <c r="AG207">
        <v>21</v>
      </c>
      <c r="AH207">
        <v>3</v>
      </c>
      <c r="AI207">
        <v>3</v>
      </c>
      <c r="AJ207">
        <v>0</v>
      </c>
      <c r="AK207">
        <v>5</v>
      </c>
      <c r="AL207" t="s">
        <v>2670</v>
      </c>
      <c r="AM207" t="s">
        <v>1082</v>
      </c>
      <c r="AN207" t="s">
        <v>2671</v>
      </c>
      <c r="AO207" t="s">
        <v>2672</v>
      </c>
      <c r="AP207" t="s">
        <v>74</v>
      </c>
      <c r="AQ207" t="s">
        <v>74</v>
      </c>
      <c r="AR207" t="s">
        <v>2673</v>
      </c>
      <c r="AS207" t="s">
        <v>2674</v>
      </c>
      <c r="AT207" t="s">
        <v>74</v>
      </c>
      <c r="AU207">
        <v>1999</v>
      </c>
      <c r="AV207">
        <v>18</v>
      </c>
      <c r="AW207">
        <v>2</v>
      </c>
      <c r="AX207" t="s">
        <v>74</v>
      </c>
      <c r="AY207" t="s">
        <v>74</v>
      </c>
      <c r="AZ207" t="s">
        <v>74</v>
      </c>
      <c r="BA207" t="s">
        <v>74</v>
      </c>
      <c r="BB207">
        <v>353</v>
      </c>
      <c r="BC207">
        <v>359</v>
      </c>
      <c r="BD207" t="s">
        <v>74</v>
      </c>
      <c r="BE207" t="s">
        <v>2977</v>
      </c>
      <c r="BF207" t="str">
        <f>HYPERLINK("http://dx.doi.org/10.1111/j.1751-8369.1999.tb00314.x","http://dx.doi.org/10.1111/j.1751-8369.1999.tb00314.x")</f>
        <v>http://dx.doi.org/10.1111/j.1751-8369.1999.tb00314.x</v>
      </c>
      <c r="BG207" t="s">
        <v>74</v>
      </c>
      <c r="BH207" t="s">
        <v>74</v>
      </c>
      <c r="BI207">
        <v>7</v>
      </c>
      <c r="BJ207" t="s">
        <v>2676</v>
      </c>
      <c r="BK207" t="s">
        <v>235</v>
      </c>
      <c r="BL207" t="s">
        <v>2677</v>
      </c>
      <c r="BM207" t="s">
        <v>2678</v>
      </c>
      <c r="BN207" t="s">
        <v>74</v>
      </c>
      <c r="BO207" t="s">
        <v>74</v>
      </c>
      <c r="BP207" t="s">
        <v>74</v>
      </c>
      <c r="BQ207" t="s">
        <v>74</v>
      </c>
      <c r="BR207" t="s">
        <v>98</v>
      </c>
      <c r="BS207" t="s">
        <v>2978</v>
      </c>
      <c r="BT207" t="str">
        <f>HYPERLINK("https%3A%2F%2Fwww.webofscience.com%2Fwos%2Fwoscc%2Ffull-record%2FWOS:000085228300035","View Full Record in Web of Science")</f>
        <v>View Full Record in Web of Science</v>
      </c>
    </row>
    <row r="208" spans="1:72" x14ac:dyDescent="0.15">
      <c r="A208" t="s">
        <v>72</v>
      </c>
      <c r="B208" t="s">
        <v>2979</v>
      </c>
      <c r="C208" t="s">
        <v>74</v>
      </c>
      <c r="D208" t="s">
        <v>74</v>
      </c>
      <c r="E208" t="s">
        <v>74</v>
      </c>
      <c r="F208" t="s">
        <v>2979</v>
      </c>
      <c r="G208" t="s">
        <v>74</v>
      </c>
      <c r="H208" t="s">
        <v>74</v>
      </c>
      <c r="I208" t="s">
        <v>2980</v>
      </c>
      <c r="J208" t="s">
        <v>2666</v>
      </c>
      <c r="K208" t="s">
        <v>74</v>
      </c>
      <c r="L208" t="s">
        <v>74</v>
      </c>
      <c r="M208" t="s">
        <v>77</v>
      </c>
      <c r="N208" t="s">
        <v>123</v>
      </c>
      <c r="O208" t="s">
        <v>2683</v>
      </c>
      <c r="P208" t="s">
        <v>2684</v>
      </c>
      <c r="Q208" t="s">
        <v>2685</v>
      </c>
      <c r="R208" t="s">
        <v>74</v>
      </c>
      <c r="S208" t="s">
        <v>74</v>
      </c>
      <c r="T208" t="s">
        <v>74</v>
      </c>
      <c r="U208" t="s">
        <v>2981</v>
      </c>
      <c r="V208" t="s">
        <v>2982</v>
      </c>
      <c r="W208" t="s">
        <v>2983</v>
      </c>
      <c r="X208" t="s">
        <v>2984</v>
      </c>
      <c r="Y208" t="s">
        <v>2985</v>
      </c>
      <c r="Z208" t="s">
        <v>74</v>
      </c>
      <c r="AA208" t="s">
        <v>74</v>
      </c>
      <c r="AB208" t="s">
        <v>2986</v>
      </c>
      <c r="AC208" t="s">
        <v>74</v>
      </c>
      <c r="AD208" t="s">
        <v>74</v>
      </c>
      <c r="AE208" t="s">
        <v>74</v>
      </c>
      <c r="AF208" t="s">
        <v>74</v>
      </c>
      <c r="AG208">
        <v>37</v>
      </c>
      <c r="AH208">
        <v>3</v>
      </c>
      <c r="AI208">
        <v>3</v>
      </c>
      <c r="AJ208">
        <v>0</v>
      </c>
      <c r="AK208">
        <v>3</v>
      </c>
      <c r="AL208" t="s">
        <v>2670</v>
      </c>
      <c r="AM208" t="s">
        <v>1082</v>
      </c>
      <c r="AN208" t="s">
        <v>2671</v>
      </c>
      <c r="AO208" t="s">
        <v>2672</v>
      </c>
      <c r="AP208" t="s">
        <v>74</v>
      </c>
      <c r="AQ208" t="s">
        <v>74</v>
      </c>
      <c r="AR208" t="s">
        <v>2673</v>
      </c>
      <c r="AS208" t="s">
        <v>2674</v>
      </c>
      <c r="AT208" t="s">
        <v>74</v>
      </c>
      <c r="AU208">
        <v>1999</v>
      </c>
      <c r="AV208">
        <v>18</v>
      </c>
      <c r="AW208">
        <v>2</v>
      </c>
      <c r="AX208" t="s">
        <v>74</v>
      </c>
      <c r="AY208" t="s">
        <v>74</v>
      </c>
      <c r="AZ208" t="s">
        <v>74</v>
      </c>
      <c r="BA208" t="s">
        <v>74</v>
      </c>
      <c r="BB208">
        <v>361</v>
      </c>
      <c r="BC208">
        <v>365</v>
      </c>
      <c r="BD208" t="s">
        <v>74</v>
      </c>
      <c r="BE208" t="s">
        <v>2987</v>
      </c>
      <c r="BF208" t="str">
        <f>HYPERLINK("http://dx.doi.org/10.1111/j.1751-8369.1999.tb00315.x","http://dx.doi.org/10.1111/j.1751-8369.1999.tb00315.x")</f>
        <v>http://dx.doi.org/10.1111/j.1751-8369.1999.tb00315.x</v>
      </c>
      <c r="BG208" t="s">
        <v>74</v>
      </c>
      <c r="BH208" t="s">
        <v>74</v>
      </c>
      <c r="BI208">
        <v>5</v>
      </c>
      <c r="BJ208" t="s">
        <v>2676</v>
      </c>
      <c r="BK208" t="s">
        <v>235</v>
      </c>
      <c r="BL208" t="s">
        <v>2677</v>
      </c>
      <c r="BM208" t="s">
        <v>2678</v>
      </c>
      <c r="BN208" t="s">
        <v>74</v>
      </c>
      <c r="BO208" t="s">
        <v>74</v>
      </c>
      <c r="BP208" t="s">
        <v>74</v>
      </c>
      <c r="BQ208" t="s">
        <v>74</v>
      </c>
      <c r="BR208" t="s">
        <v>98</v>
      </c>
      <c r="BS208" t="s">
        <v>2988</v>
      </c>
      <c r="BT208" t="str">
        <f>HYPERLINK("https%3A%2F%2Fwww.webofscience.com%2Fwos%2Fwoscc%2Ffull-record%2FWOS:000085228300036","View Full Record in Web of Science")</f>
        <v>View Full Record in Web of Science</v>
      </c>
    </row>
    <row r="209" spans="1:72" x14ac:dyDescent="0.15">
      <c r="A209" t="s">
        <v>72</v>
      </c>
      <c r="B209" t="s">
        <v>2989</v>
      </c>
      <c r="C209" t="s">
        <v>74</v>
      </c>
      <c r="D209" t="s">
        <v>74</v>
      </c>
      <c r="E209" t="s">
        <v>74</v>
      </c>
      <c r="F209" t="s">
        <v>2989</v>
      </c>
      <c r="G209" t="s">
        <v>74</v>
      </c>
      <c r="H209" t="s">
        <v>74</v>
      </c>
      <c r="I209" t="s">
        <v>2990</v>
      </c>
      <c r="J209" t="s">
        <v>2666</v>
      </c>
      <c r="K209" t="s">
        <v>74</v>
      </c>
      <c r="L209" t="s">
        <v>74</v>
      </c>
      <c r="M209" t="s">
        <v>77</v>
      </c>
      <c r="N209" t="s">
        <v>123</v>
      </c>
      <c r="O209" t="s">
        <v>2683</v>
      </c>
      <c r="P209" t="s">
        <v>2684</v>
      </c>
      <c r="Q209" t="s">
        <v>2685</v>
      </c>
      <c r="R209" t="s">
        <v>74</v>
      </c>
      <c r="S209" t="s">
        <v>74</v>
      </c>
      <c r="T209" t="s">
        <v>74</v>
      </c>
      <c r="U209" t="s">
        <v>2991</v>
      </c>
      <c r="V209" t="s">
        <v>2992</v>
      </c>
      <c r="W209" t="s">
        <v>2993</v>
      </c>
      <c r="X209" t="s">
        <v>2994</v>
      </c>
      <c r="Y209" t="s">
        <v>2995</v>
      </c>
      <c r="Z209" t="s">
        <v>74</v>
      </c>
      <c r="AA209" t="s">
        <v>2996</v>
      </c>
      <c r="AB209" t="s">
        <v>2997</v>
      </c>
      <c r="AC209" t="s">
        <v>74</v>
      </c>
      <c r="AD209" t="s">
        <v>74</v>
      </c>
      <c r="AE209" t="s">
        <v>74</v>
      </c>
      <c r="AF209" t="s">
        <v>74</v>
      </c>
      <c r="AG209">
        <v>46</v>
      </c>
      <c r="AH209">
        <v>22</v>
      </c>
      <c r="AI209">
        <v>25</v>
      </c>
      <c r="AJ209">
        <v>1</v>
      </c>
      <c r="AK209">
        <v>25</v>
      </c>
      <c r="AL209" t="s">
        <v>2670</v>
      </c>
      <c r="AM209" t="s">
        <v>1082</v>
      </c>
      <c r="AN209" t="s">
        <v>2671</v>
      </c>
      <c r="AO209" t="s">
        <v>2672</v>
      </c>
      <c r="AP209" t="s">
        <v>74</v>
      </c>
      <c r="AQ209" t="s">
        <v>74</v>
      </c>
      <c r="AR209" t="s">
        <v>2673</v>
      </c>
      <c r="AS209" t="s">
        <v>2674</v>
      </c>
      <c r="AT209" t="s">
        <v>74</v>
      </c>
      <c r="AU209">
        <v>1999</v>
      </c>
      <c r="AV209">
        <v>18</v>
      </c>
      <c r="AW209">
        <v>2</v>
      </c>
      <c r="AX209" t="s">
        <v>74</v>
      </c>
      <c r="AY209" t="s">
        <v>74</v>
      </c>
      <c r="AZ209" t="s">
        <v>74</v>
      </c>
      <c r="BA209" t="s">
        <v>74</v>
      </c>
      <c r="BB209">
        <v>367</v>
      </c>
      <c r="BC209">
        <v>373</v>
      </c>
      <c r="BD209" t="s">
        <v>74</v>
      </c>
      <c r="BE209" t="s">
        <v>2998</v>
      </c>
      <c r="BF209" t="str">
        <f>HYPERLINK("http://dx.doi.org/10.1111/j.1751-8369.1999.tb00316.x","http://dx.doi.org/10.1111/j.1751-8369.1999.tb00316.x")</f>
        <v>http://dx.doi.org/10.1111/j.1751-8369.1999.tb00316.x</v>
      </c>
      <c r="BG209" t="s">
        <v>74</v>
      </c>
      <c r="BH209" t="s">
        <v>74</v>
      </c>
      <c r="BI209">
        <v>7</v>
      </c>
      <c r="BJ209" t="s">
        <v>2676</v>
      </c>
      <c r="BK209" t="s">
        <v>235</v>
      </c>
      <c r="BL209" t="s">
        <v>2677</v>
      </c>
      <c r="BM209" t="s">
        <v>2678</v>
      </c>
      <c r="BN209" t="s">
        <v>74</v>
      </c>
      <c r="BO209" t="s">
        <v>74</v>
      </c>
      <c r="BP209" t="s">
        <v>74</v>
      </c>
      <c r="BQ209" t="s">
        <v>74</v>
      </c>
      <c r="BR209" t="s">
        <v>98</v>
      </c>
      <c r="BS209" t="s">
        <v>2999</v>
      </c>
      <c r="BT209" t="str">
        <f>HYPERLINK("https%3A%2F%2Fwww.webofscience.com%2Fwos%2Fwoscc%2Ffull-record%2FWOS:000085228300037","View Full Record in Web of Science")</f>
        <v>View Full Record in Web of Science</v>
      </c>
    </row>
    <row r="210" spans="1:72" x14ac:dyDescent="0.15">
      <c r="A210" t="s">
        <v>72</v>
      </c>
      <c r="B210" t="s">
        <v>3000</v>
      </c>
      <c r="C210" t="s">
        <v>74</v>
      </c>
      <c r="D210" t="s">
        <v>74</v>
      </c>
      <c r="E210" t="s">
        <v>74</v>
      </c>
      <c r="F210" t="s">
        <v>3000</v>
      </c>
      <c r="G210" t="s">
        <v>74</v>
      </c>
      <c r="H210" t="s">
        <v>74</v>
      </c>
      <c r="I210" t="s">
        <v>3001</v>
      </c>
      <c r="J210" t="s">
        <v>2666</v>
      </c>
      <c r="K210" t="s">
        <v>74</v>
      </c>
      <c r="L210" t="s">
        <v>74</v>
      </c>
      <c r="M210" t="s">
        <v>77</v>
      </c>
      <c r="N210" t="s">
        <v>123</v>
      </c>
      <c r="O210" t="s">
        <v>2683</v>
      </c>
      <c r="P210" t="s">
        <v>2684</v>
      </c>
      <c r="Q210" t="s">
        <v>2685</v>
      </c>
      <c r="R210" t="s">
        <v>74</v>
      </c>
      <c r="S210" t="s">
        <v>74</v>
      </c>
      <c r="T210" t="s">
        <v>74</v>
      </c>
      <c r="U210" t="s">
        <v>3002</v>
      </c>
      <c r="V210" t="s">
        <v>3003</v>
      </c>
      <c r="W210" t="s">
        <v>3004</v>
      </c>
      <c r="X210" t="s">
        <v>3005</v>
      </c>
      <c r="Y210" t="s">
        <v>3006</v>
      </c>
      <c r="Z210" t="s">
        <v>74</v>
      </c>
      <c r="AA210" t="s">
        <v>74</v>
      </c>
      <c r="AB210" t="s">
        <v>74</v>
      </c>
      <c r="AC210" t="s">
        <v>74</v>
      </c>
      <c r="AD210" t="s">
        <v>74</v>
      </c>
      <c r="AE210" t="s">
        <v>74</v>
      </c>
      <c r="AF210" t="s">
        <v>74</v>
      </c>
      <c r="AG210">
        <v>38</v>
      </c>
      <c r="AH210">
        <v>26</v>
      </c>
      <c r="AI210">
        <v>26</v>
      </c>
      <c r="AJ210">
        <v>5</v>
      </c>
      <c r="AK210">
        <v>42</v>
      </c>
      <c r="AL210" t="s">
        <v>2670</v>
      </c>
      <c r="AM210" t="s">
        <v>1082</v>
      </c>
      <c r="AN210" t="s">
        <v>2671</v>
      </c>
      <c r="AO210" t="s">
        <v>2672</v>
      </c>
      <c r="AP210" t="s">
        <v>74</v>
      </c>
      <c r="AQ210" t="s">
        <v>74</v>
      </c>
      <c r="AR210" t="s">
        <v>2673</v>
      </c>
      <c r="AS210" t="s">
        <v>2674</v>
      </c>
      <c r="AT210" t="s">
        <v>74</v>
      </c>
      <c r="AU210">
        <v>1999</v>
      </c>
      <c r="AV210">
        <v>18</v>
      </c>
      <c r="AW210">
        <v>2</v>
      </c>
      <c r="AX210" t="s">
        <v>74</v>
      </c>
      <c r="AY210" t="s">
        <v>74</v>
      </c>
      <c r="AZ210" t="s">
        <v>74</v>
      </c>
      <c r="BA210" t="s">
        <v>74</v>
      </c>
      <c r="BB210">
        <v>375</v>
      </c>
      <c r="BC210">
        <v>382</v>
      </c>
      <c r="BD210" t="s">
        <v>74</v>
      </c>
      <c r="BE210" t="s">
        <v>3007</v>
      </c>
      <c r="BF210" t="str">
        <f>HYPERLINK("http://dx.doi.org/10.1111/j.1751-8369.1999.tb00317.x","http://dx.doi.org/10.1111/j.1751-8369.1999.tb00317.x")</f>
        <v>http://dx.doi.org/10.1111/j.1751-8369.1999.tb00317.x</v>
      </c>
      <c r="BG210" t="s">
        <v>74</v>
      </c>
      <c r="BH210" t="s">
        <v>74</v>
      </c>
      <c r="BI210">
        <v>8</v>
      </c>
      <c r="BJ210" t="s">
        <v>2676</v>
      </c>
      <c r="BK210" t="s">
        <v>235</v>
      </c>
      <c r="BL210" t="s">
        <v>2677</v>
      </c>
      <c r="BM210" t="s">
        <v>2678</v>
      </c>
      <c r="BN210" t="s">
        <v>74</v>
      </c>
      <c r="BO210" t="s">
        <v>1005</v>
      </c>
      <c r="BP210" t="s">
        <v>74</v>
      </c>
      <c r="BQ210" t="s">
        <v>74</v>
      </c>
      <c r="BR210" t="s">
        <v>98</v>
      </c>
      <c r="BS210" t="s">
        <v>3008</v>
      </c>
      <c r="BT210" t="str">
        <f>HYPERLINK("https%3A%2F%2Fwww.webofscience.com%2Fwos%2Fwoscc%2Ffull-record%2FWOS:000085228300038","View Full Record in Web of Science")</f>
        <v>View Full Record in Web of Science</v>
      </c>
    </row>
    <row r="211" spans="1:72" x14ac:dyDescent="0.15">
      <c r="A211" t="s">
        <v>72</v>
      </c>
      <c r="B211" t="s">
        <v>3009</v>
      </c>
      <c r="C211" t="s">
        <v>74</v>
      </c>
      <c r="D211" t="s">
        <v>74</v>
      </c>
      <c r="E211" t="s">
        <v>74</v>
      </c>
      <c r="F211" t="s">
        <v>3009</v>
      </c>
      <c r="G211" t="s">
        <v>74</v>
      </c>
      <c r="H211" t="s">
        <v>74</v>
      </c>
      <c r="I211" t="s">
        <v>3010</v>
      </c>
      <c r="J211" t="s">
        <v>2666</v>
      </c>
      <c r="K211" t="s">
        <v>74</v>
      </c>
      <c r="L211" t="s">
        <v>74</v>
      </c>
      <c r="M211" t="s">
        <v>77</v>
      </c>
      <c r="N211" t="s">
        <v>123</v>
      </c>
      <c r="O211" t="s">
        <v>2683</v>
      </c>
      <c r="P211" t="s">
        <v>2684</v>
      </c>
      <c r="Q211" t="s">
        <v>2685</v>
      </c>
      <c r="R211" t="s">
        <v>74</v>
      </c>
      <c r="S211" t="s">
        <v>74</v>
      </c>
      <c r="T211" t="s">
        <v>74</v>
      </c>
      <c r="U211" t="s">
        <v>3011</v>
      </c>
      <c r="V211" t="s">
        <v>3012</v>
      </c>
      <c r="W211" t="s">
        <v>3013</v>
      </c>
      <c r="X211" t="s">
        <v>3014</v>
      </c>
      <c r="Y211" t="s">
        <v>3015</v>
      </c>
      <c r="Z211" t="s">
        <v>74</v>
      </c>
      <c r="AA211" t="s">
        <v>74</v>
      </c>
      <c r="AB211" t="s">
        <v>3016</v>
      </c>
      <c r="AC211" t="s">
        <v>74</v>
      </c>
      <c r="AD211" t="s">
        <v>74</v>
      </c>
      <c r="AE211" t="s">
        <v>74</v>
      </c>
      <c r="AF211" t="s">
        <v>74</v>
      </c>
      <c r="AG211">
        <v>32</v>
      </c>
      <c r="AH211">
        <v>20</v>
      </c>
      <c r="AI211">
        <v>22</v>
      </c>
      <c r="AJ211">
        <v>0</v>
      </c>
      <c r="AK211">
        <v>0</v>
      </c>
      <c r="AL211" t="s">
        <v>2811</v>
      </c>
      <c r="AM211" t="s">
        <v>2812</v>
      </c>
      <c r="AN211" t="s">
        <v>2813</v>
      </c>
      <c r="AO211" t="s">
        <v>2672</v>
      </c>
      <c r="AP211" t="s">
        <v>74</v>
      </c>
      <c r="AQ211" t="s">
        <v>74</v>
      </c>
      <c r="AR211" t="s">
        <v>2673</v>
      </c>
      <c r="AS211" t="s">
        <v>2674</v>
      </c>
      <c r="AT211" t="s">
        <v>74</v>
      </c>
      <c r="AU211">
        <v>1999</v>
      </c>
      <c r="AV211">
        <v>18</v>
      </c>
      <c r="AW211">
        <v>2</v>
      </c>
      <c r="AX211" t="s">
        <v>74</v>
      </c>
      <c r="AY211" t="s">
        <v>74</v>
      </c>
      <c r="AZ211" t="s">
        <v>74</v>
      </c>
      <c r="BA211" t="s">
        <v>74</v>
      </c>
      <c r="BB211">
        <v>383</v>
      </c>
      <c r="BC211">
        <v>388</v>
      </c>
      <c r="BD211" t="s">
        <v>74</v>
      </c>
      <c r="BE211" t="s">
        <v>3017</v>
      </c>
      <c r="BF211" t="str">
        <f>HYPERLINK("http://dx.doi.org/10.1111/j.1751-8369.1999.tb00318.x","http://dx.doi.org/10.1111/j.1751-8369.1999.tb00318.x")</f>
        <v>http://dx.doi.org/10.1111/j.1751-8369.1999.tb00318.x</v>
      </c>
      <c r="BG211" t="s">
        <v>74</v>
      </c>
      <c r="BH211" t="s">
        <v>74</v>
      </c>
      <c r="BI211">
        <v>6</v>
      </c>
      <c r="BJ211" t="s">
        <v>2676</v>
      </c>
      <c r="BK211" t="s">
        <v>144</v>
      </c>
      <c r="BL211" t="s">
        <v>2677</v>
      </c>
      <c r="BM211" t="s">
        <v>2678</v>
      </c>
      <c r="BN211" t="s">
        <v>74</v>
      </c>
      <c r="BO211" t="s">
        <v>483</v>
      </c>
      <c r="BP211" t="s">
        <v>74</v>
      </c>
      <c r="BQ211" t="s">
        <v>74</v>
      </c>
      <c r="BR211" t="s">
        <v>98</v>
      </c>
      <c r="BS211" t="s">
        <v>3018</v>
      </c>
      <c r="BT211" t="str">
        <f>HYPERLINK("https%3A%2F%2Fwww.webofscience.com%2Fwos%2Fwoscc%2Ffull-record%2FWOS:000085228300039","View Full Record in Web of Science")</f>
        <v>View Full Record in Web of Science</v>
      </c>
    </row>
    <row r="212" spans="1:72" x14ac:dyDescent="0.15">
      <c r="A212" t="s">
        <v>72</v>
      </c>
      <c r="B212" t="s">
        <v>3019</v>
      </c>
      <c r="C212" t="s">
        <v>74</v>
      </c>
      <c r="D212" t="s">
        <v>74</v>
      </c>
      <c r="E212" t="s">
        <v>74</v>
      </c>
      <c r="F212" t="s">
        <v>3019</v>
      </c>
      <c r="G212" t="s">
        <v>74</v>
      </c>
      <c r="H212" t="s">
        <v>74</v>
      </c>
      <c r="I212" t="s">
        <v>3020</v>
      </c>
      <c r="J212" t="s">
        <v>2666</v>
      </c>
      <c r="K212" t="s">
        <v>74</v>
      </c>
      <c r="L212" t="s">
        <v>74</v>
      </c>
      <c r="M212" t="s">
        <v>77</v>
      </c>
      <c r="N212" t="s">
        <v>123</v>
      </c>
      <c r="O212" t="s">
        <v>2683</v>
      </c>
      <c r="P212" t="s">
        <v>2684</v>
      </c>
      <c r="Q212" t="s">
        <v>2685</v>
      </c>
      <c r="R212" t="s">
        <v>74</v>
      </c>
      <c r="S212" t="s">
        <v>74</v>
      </c>
      <c r="T212" t="s">
        <v>74</v>
      </c>
      <c r="U212" t="s">
        <v>74</v>
      </c>
      <c r="V212" t="s">
        <v>3021</v>
      </c>
      <c r="W212" t="s">
        <v>3022</v>
      </c>
      <c r="X212" t="s">
        <v>3023</v>
      </c>
      <c r="Y212" t="s">
        <v>3024</v>
      </c>
      <c r="Z212" t="s">
        <v>74</v>
      </c>
      <c r="AA212" t="s">
        <v>74</v>
      </c>
      <c r="AB212" t="s">
        <v>74</v>
      </c>
      <c r="AC212" t="s">
        <v>74</v>
      </c>
      <c r="AD212" t="s">
        <v>74</v>
      </c>
      <c r="AE212" t="s">
        <v>74</v>
      </c>
      <c r="AF212" t="s">
        <v>74</v>
      </c>
      <c r="AG212">
        <v>16</v>
      </c>
      <c r="AH212">
        <v>5</v>
      </c>
      <c r="AI212">
        <v>8</v>
      </c>
      <c r="AJ212">
        <v>0</v>
      </c>
      <c r="AK212">
        <v>5</v>
      </c>
      <c r="AL212" t="s">
        <v>2670</v>
      </c>
      <c r="AM212" t="s">
        <v>1082</v>
      </c>
      <c r="AN212" t="s">
        <v>2671</v>
      </c>
      <c r="AO212" t="s">
        <v>2672</v>
      </c>
      <c r="AP212" t="s">
        <v>74</v>
      </c>
      <c r="AQ212" t="s">
        <v>74</v>
      </c>
      <c r="AR212" t="s">
        <v>2673</v>
      </c>
      <c r="AS212" t="s">
        <v>2674</v>
      </c>
      <c r="AT212" t="s">
        <v>74</v>
      </c>
      <c r="AU212">
        <v>1999</v>
      </c>
      <c r="AV212">
        <v>18</v>
      </c>
      <c r="AW212">
        <v>2</v>
      </c>
      <c r="AX212" t="s">
        <v>74</v>
      </c>
      <c r="AY212" t="s">
        <v>74</v>
      </c>
      <c r="AZ212" t="s">
        <v>74</v>
      </c>
      <c r="BA212" t="s">
        <v>74</v>
      </c>
      <c r="BB212">
        <v>389</v>
      </c>
      <c r="BC212">
        <v>396</v>
      </c>
      <c r="BD212" t="s">
        <v>74</v>
      </c>
      <c r="BE212" t="s">
        <v>3025</v>
      </c>
      <c r="BF212" t="str">
        <f>HYPERLINK("http://dx.doi.org/10.1111/j.1751-8369.1999.tb00319.x","http://dx.doi.org/10.1111/j.1751-8369.1999.tb00319.x")</f>
        <v>http://dx.doi.org/10.1111/j.1751-8369.1999.tb00319.x</v>
      </c>
      <c r="BG212" t="s">
        <v>74</v>
      </c>
      <c r="BH212" t="s">
        <v>74</v>
      </c>
      <c r="BI212">
        <v>8</v>
      </c>
      <c r="BJ212" t="s">
        <v>2676</v>
      </c>
      <c r="BK212" t="s">
        <v>235</v>
      </c>
      <c r="BL212" t="s">
        <v>2677</v>
      </c>
      <c r="BM212" t="s">
        <v>2678</v>
      </c>
      <c r="BN212" t="s">
        <v>74</v>
      </c>
      <c r="BO212" t="s">
        <v>74</v>
      </c>
      <c r="BP212" t="s">
        <v>74</v>
      </c>
      <c r="BQ212" t="s">
        <v>74</v>
      </c>
      <c r="BR212" t="s">
        <v>98</v>
      </c>
      <c r="BS212" t="s">
        <v>3026</v>
      </c>
      <c r="BT212" t="str">
        <f>HYPERLINK("https%3A%2F%2Fwww.webofscience.com%2Fwos%2Fwoscc%2Ffull-record%2FWOS:000085228300040","View Full Record in Web of Science")</f>
        <v>View Full Record in Web of Science</v>
      </c>
    </row>
    <row r="213" spans="1:72" x14ac:dyDescent="0.15">
      <c r="A213" t="s">
        <v>72</v>
      </c>
      <c r="B213" t="s">
        <v>3027</v>
      </c>
      <c r="C213" t="s">
        <v>74</v>
      </c>
      <c r="D213" t="s">
        <v>74</v>
      </c>
      <c r="E213" t="s">
        <v>74</v>
      </c>
      <c r="F213" t="s">
        <v>3027</v>
      </c>
      <c r="G213" t="s">
        <v>74</v>
      </c>
      <c r="H213" t="s">
        <v>74</v>
      </c>
      <c r="I213" t="s">
        <v>3028</v>
      </c>
      <c r="J213" t="s">
        <v>2666</v>
      </c>
      <c r="K213" t="s">
        <v>74</v>
      </c>
      <c r="L213" t="s">
        <v>74</v>
      </c>
      <c r="M213" t="s">
        <v>77</v>
      </c>
      <c r="N213" t="s">
        <v>123</v>
      </c>
      <c r="O213" t="s">
        <v>2683</v>
      </c>
      <c r="P213" t="s">
        <v>2684</v>
      </c>
      <c r="Q213" t="s">
        <v>2685</v>
      </c>
      <c r="R213" t="s">
        <v>74</v>
      </c>
      <c r="S213" t="s">
        <v>74</v>
      </c>
      <c r="T213" t="s">
        <v>74</v>
      </c>
      <c r="U213" t="s">
        <v>74</v>
      </c>
      <c r="V213" t="s">
        <v>3029</v>
      </c>
      <c r="W213" t="s">
        <v>3030</v>
      </c>
      <c r="X213" t="s">
        <v>3031</v>
      </c>
      <c r="Y213" t="s">
        <v>3032</v>
      </c>
      <c r="Z213" t="s">
        <v>74</v>
      </c>
      <c r="AA213" t="s">
        <v>74</v>
      </c>
      <c r="AB213" t="s">
        <v>74</v>
      </c>
      <c r="AC213" t="s">
        <v>74</v>
      </c>
      <c r="AD213" t="s">
        <v>74</v>
      </c>
      <c r="AE213" t="s">
        <v>74</v>
      </c>
      <c r="AF213" t="s">
        <v>74</v>
      </c>
      <c r="AG213">
        <v>38</v>
      </c>
      <c r="AH213">
        <v>2</v>
      </c>
      <c r="AI213">
        <v>2</v>
      </c>
      <c r="AJ213">
        <v>0</v>
      </c>
      <c r="AK213">
        <v>1</v>
      </c>
      <c r="AL213" t="s">
        <v>2670</v>
      </c>
      <c r="AM213" t="s">
        <v>1082</v>
      </c>
      <c r="AN213" t="s">
        <v>2671</v>
      </c>
      <c r="AO213" t="s">
        <v>2672</v>
      </c>
      <c r="AP213" t="s">
        <v>74</v>
      </c>
      <c r="AQ213" t="s">
        <v>74</v>
      </c>
      <c r="AR213" t="s">
        <v>2673</v>
      </c>
      <c r="AS213" t="s">
        <v>2674</v>
      </c>
      <c r="AT213" t="s">
        <v>74</v>
      </c>
      <c r="AU213">
        <v>1999</v>
      </c>
      <c r="AV213">
        <v>18</v>
      </c>
      <c r="AW213">
        <v>2</v>
      </c>
      <c r="AX213" t="s">
        <v>74</v>
      </c>
      <c r="AY213" t="s">
        <v>74</v>
      </c>
      <c r="AZ213" t="s">
        <v>74</v>
      </c>
      <c r="BA213" t="s">
        <v>74</v>
      </c>
      <c r="BB213">
        <v>397</v>
      </c>
      <c r="BC213">
        <v>402</v>
      </c>
      <c r="BD213" t="s">
        <v>74</v>
      </c>
      <c r="BE213" t="s">
        <v>3033</v>
      </c>
      <c r="BF213" t="str">
        <f>HYPERLINK("http://dx.doi.org/10.1111/j.1751-8369.1999.tb00320.x","http://dx.doi.org/10.1111/j.1751-8369.1999.tb00320.x")</f>
        <v>http://dx.doi.org/10.1111/j.1751-8369.1999.tb00320.x</v>
      </c>
      <c r="BG213" t="s">
        <v>74</v>
      </c>
      <c r="BH213" t="s">
        <v>74</v>
      </c>
      <c r="BI213">
        <v>6</v>
      </c>
      <c r="BJ213" t="s">
        <v>2676</v>
      </c>
      <c r="BK213" t="s">
        <v>235</v>
      </c>
      <c r="BL213" t="s">
        <v>2677</v>
      </c>
      <c r="BM213" t="s">
        <v>2678</v>
      </c>
      <c r="BN213" t="s">
        <v>74</v>
      </c>
      <c r="BO213" t="s">
        <v>74</v>
      </c>
      <c r="BP213" t="s">
        <v>74</v>
      </c>
      <c r="BQ213" t="s">
        <v>74</v>
      </c>
      <c r="BR213" t="s">
        <v>98</v>
      </c>
      <c r="BS213" t="s">
        <v>3034</v>
      </c>
      <c r="BT213" t="str">
        <f>HYPERLINK("https%3A%2F%2Fwww.webofscience.com%2Fwos%2Fwoscc%2Ffull-record%2FWOS:000085228300041","View Full Record in Web of Science")</f>
        <v>View Full Record in Web of Science</v>
      </c>
    </row>
    <row r="214" spans="1:72" x14ac:dyDescent="0.15">
      <c r="A214" t="s">
        <v>147</v>
      </c>
      <c r="B214" t="s">
        <v>3035</v>
      </c>
      <c r="C214" t="s">
        <v>74</v>
      </c>
      <c r="D214" t="s">
        <v>3036</v>
      </c>
      <c r="E214" t="s">
        <v>74</v>
      </c>
      <c r="F214" t="s">
        <v>3035</v>
      </c>
      <c r="G214" t="s">
        <v>74</v>
      </c>
      <c r="H214" t="s">
        <v>74</v>
      </c>
      <c r="I214" t="s">
        <v>3037</v>
      </c>
      <c r="J214" t="s">
        <v>3038</v>
      </c>
      <c r="K214" t="s">
        <v>74</v>
      </c>
      <c r="L214" t="s">
        <v>74</v>
      </c>
      <c r="M214" t="s">
        <v>77</v>
      </c>
      <c r="N214" t="s">
        <v>153</v>
      </c>
      <c r="O214" t="s">
        <v>3039</v>
      </c>
      <c r="P214" t="s">
        <v>3040</v>
      </c>
      <c r="Q214" t="s">
        <v>3041</v>
      </c>
      <c r="R214" t="s">
        <v>74</v>
      </c>
      <c r="S214" t="s">
        <v>74</v>
      </c>
      <c r="T214" t="s">
        <v>3042</v>
      </c>
      <c r="U214" t="s">
        <v>3043</v>
      </c>
      <c r="V214" t="s">
        <v>3044</v>
      </c>
      <c r="W214" t="s">
        <v>3045</v>
      </c>
      <c r="X214" t="s">
        <v>3046</v>
      </c>
      <c r="Y214" t="s">
        <v>3047</v>
      </c>
      <c r="Z214" t="s">
        <v>74</v>
      </c>
      <c r="AA214" t="s">
        <v>74</v>
      </c>
      <c r="AB214" t="s">
        <v>74</v>
      </c>
      <c r="AC214" t="s">
        <v>74</v>
      </c>
      <c r="AD214" t="s">
        <v>74</v>
      </c>
      <c r="AE214" t="s">
        <v>74</v>
      </c>
      <c r="AF214" t="s">
        <v>74</v>
      </c>
      <c r="AG214">
        <v>24</v>
      </c>
      <c r="AH214">
        <v>14</v>
      </c>
      <c r="AI214">
        <v>14</v>
      </c>
      <c r="AJ214">
        <v>0</v>
      </c>
      <c r="AK214">
        <v>0</v>
      </c>
      <c r="AL214" t="s">
        <v>3048</v>
      </c>
      <c r="AM214" t="s">
        <v>187</v>
      </c>
      <c r="AN214" t="s">
        <v>3049</v>
      </c>
      <c r="AO214" t="s">
        <v>74</v>
      </c>
      <c r="AP214" t="s">
        <v>74</v>
      </c>
      <c r="AQ214" t="s">
        <v>3050</v>
      </c>
      <c r="AR214" t="s">
        <v>74</v>
      </c>
      <c r="AS214" t="s">
        <v>74</v>
      </c>
      <c r="AT214" t="s">
        <v>74</v>
      </c>
      <c r="AU214">
        <v>1999</v>
      </c>
      <c r="AV214" t="s">
        <v>74</v>
      </c>
      <c r="AW214" t="s">
        <v>74</v>
      </c>
      <c r="AX214" t="s">
        <v>74</v>
      </c>
      <c r="AY214" t="s">
        <v>74</v>
      </c>
      <c r="AZ214" t="s">
        <v>74</v>
      </c>
      <c r="BA214" t="s">
        <v>74</v>
      </c>
      <c r="BB214">
        <v>427</v>
      </c>
      <c r="BC214">
        <v>440</v>
      </c>
      <c r="BD214" t="s">
        <v>74</v>
      </c>
      <c r="BE214" t="s">
        <v>74</v>
      </c>
      <c r="BF214" t="s">
        <v>74</v>
      </c>
      <c r="BG214" t="s">
        <v>74</v>
      </c>
      <c r="BH214" t="s">
        <v>74</v>
      </c>
      <c r="BI214">
        <v>14</v>
      </c>
      <c r="BJ214" t="s">
        <v>3051</v>
      </c>
      <c r="BK214" t="s">
        <v>171</v>
      </c>
      <c r="BL214" t="s">
        <v>3052</v>
      </c>
      <c r="BM214" t="s">
        <v>3053</v>
      </c>
      <c r="BN214" t="s">
        <v>74</v>
      </c>
      <c r="BO214" t="s">
        <v>74</v>
      </c>
      <c r="BP214" t="s">
        <v>74</v>
      </c>
      <c r="BQ214" t="s">
        <v>74</v>
      </c>
      <c r="BR214" t="s">
        <v>98</v>
      </c>
      <c r="BS214" t="s">
        <v>3054</v>
      </c>
      <c r="BT214" t="str">
        <f>HYPERLINK("https%3A%2F%2Fwww.webofscience.com%2Fwos%2Fwoscc%2Ffull-record%2FWOS:000084731300040","View Full Record in Web of Science")</f>
        <v>View Full Record in Web of Science</v>
      </c>
    </row>
    <row r="215" spans="1:72" x14ac:dyDescent="0.15">
      <c r="A215" t="s">
        <v>147</v>
      </c>
      <c r="B215" t="s">
        <v>3055</v>
      </c>
      <c r="C215" t="s">
        <v>74</v>
      </c>
      <c r="D215" t="s">
        <v>3056</v>
      </c>
      <c r="E215" t="s">
        <v>74</v>
      </c>
      <c r="F215" t="s">
        <v>3055</v>
      </c>
      <c r="G215" t="s">
        <v>74</v>
      </c>
      <c r="H215" t="s">
        <v>74</v>
      </c>
      <c r="I215" t="s">
        <v>3057</v>
      </c>
      <c r="J215" t="s">
        <v>3058</v>
      </c>
      <c r="K215" t="s">
        <v>74</v>
      </c>
      <c r="L215" t="s">
        <v>74</v>
      </c>
      <c r="M215" t="s">
        <v>77</v>
      </c>
      <c r="N215" t="s">
        <v>153</v>
      </c>
      <c r="O215" t="s">
        <v>3059</v>
      </c>
      <c r="P215" t="s">
        <v>3060</v>
      </c>
      <c r="Q215" t="s">
        <v>3061</v>
      </c>
      <c r="R215" t="s">
        <v>74</v>
      </c>
      <c r="S215" t="s">
        <v>74</v>
      </c>
      <c r="T215" t="s">
        <v>74</v>
      </c>
      <c r="U215" t="s">
        <v>74</v>
      </c>
      <c r="V215" t="s">
        <v>3062</v>
      </c>
      <c r="W215" t="s">
        <v>3063</v>
      </c>
      <c r="X215" t="s">
        <v>74</v>
      </c>
      <c r="Y215" t="s">
        <v>3064</v>
      </c>
      <c r="Z215" t="s">
        <v>74</v>
      </c>
      <c r="AA215" t="s">
        <v>74</v>
      </c>
      <c r="AB215" t="s">
        <v>74</v>
      </c>
      <c r="AC215" t="s">
        <v>74</v>
      </c>
      <c r="AD215" t="s">
        <v>74</v>
      </c>
      <c r="AE215" t="s">
        <v>74</v>
      </c>
      <c r="AF215" t="s">
        <v>74</v>
      </c>
      <c r="AG215">
        <v>26</v>
      </c>
      <c r="AH215">
        <v>0</v>
      </c>
      <c r="AI215">
        <v>0</v>
      </c>
      <c r="AJ215">
        <v>0</v>
      </c>
      <c r="AK215">
        <v>2</v>
      </c>
      <c r="AL215" t="s">
        <v>1100</v>
      </c>
      <c r="AM215" t="s">
        <v>1101</v>
      </c>
      <c r="AN215" t="s">
        <v>1102</v>
      </c>
      <c r="AO215" t="s">
        <v>74</v>
      </c>
      <c r="AP215" t="s">
        <v>74</v>
      </c>
      <c r="AQ215" t="s">
        <v>3065</v>
      </c>
      <c r="AR215" t="s">
        <v>74</v>
      </c>
      <c r="AS215" t="s">
        <v>74</v>
      </c>
      <c r="AT215" t="s">
        <v>74</v>
      </c>
      <c r="AU215">
        <v>1999</v>
      </c>
      <c r="AV215" t="s">
        <v>74</v>
      </c>
      <c r="AW215" t="s">
        <v>74</v>
      </c>
      <c r="AX215" t="s">
        <v>74</v>
      </c>
      <c r="AY215" t="s">
        <v>74</v>
      </c>
      <c r="AZ215" t="s">
        <v>74</v>
      </c>
      <c r="BA215" t="s">
        <v>74</v>
      </c>
      <c r="BB215">
        <v>63</v>
      </c>
      <c r="BC215">
        <v>72</v>
      </c>
      <c r="BD215" t="s">
        <v>74</v>
      </c>
      <c r="BE215" t="s">
        <v>74</v>
      </c>
      <c r="BF215" t="s">
        <v>74</v>
      </c>
      <c r="BG215" t="s">
        <v>74</v>
      </c>
      <c r="BH215" t="s">
        <v>74</v>
      </c>
      <c r="BI215">
        <v>10</v>
      </c>
      <c r="BJ215" t="s">
        <v>434</v>
      </c>
      <c r="BK215" t="s">
        <v>171</v>
      </c>
      <c r="BL215" t="s">
        <v>321</v>
      </c>
      <c r="BM215" t="s">
        <v>3066</v>
      </c>
      <c r="BN215" t="s">
        <v>74</v>
      </c>
      <c r="BO215" t="s">
        <v>74</v>
      </c>
      <c r="BP215" t="s">
        <v>74</v>
      </c>
      <c r="BQ215" t="s">
        <v>74</v>
      </c>
      <c r="BR215" t="s">
        <v>98</v>
      </c>
      <c r="BS215" t="s">
        <v>3067</v>
      </c>
      <c r="BT215" t="str">
        <f>HYPERLINK("https%3A%2F%2Fwww.webofscience.com%2Fwos%2Fwoscc%2Ffull-record%2FWOS:000082928900008","View Full Record in Web of Science")</f>
        <v>View Full Record in Web of Science</v>
      </c>
    </row>
    <row r="216" spans="1:72" x14ac:dyDescent="0.15">
      <c r="A216" t="s">
        <v>147</v>
      </c>
      <c r="B216" t="s">
        <v>3068</v>
      </c>
      <c r="C216" t="s">
        <v>74</v>
      </c>
      <c r="D216" t="s">
        <v>3056</v>
      </c>
      <c r="E216" t="s">
        <v>74</v>
      </c>
      <c r="F216" t="s">
        <v>3068</v>
      </c>
      <c r="G216" t="s">
        <v>74</v>
      </c>
      <c r="H216" t="s">
        <v>74</v>
      </c>
      <c r="I216" t="s">
        <v>3069</v>
      </c>
      <c r="J216" t="s">
        <v>3070</v>
      </c>
      <c r="K216" t="s">
        <v>74</v>
      </c>
      <c r="L216" t="s">
        <v>74</v>
      </c>
      <c r="M216" t="s">
        <v>77</v>
      </c>
      <c r="N216" t="s">
        <v>153</v>
      </c>
      <c r="O216" t="s">
        <v>3059</v>
      </c>
      <c r="P216" t="s">
        <v>3060</v>
      </c>
      <c r="Q216" t="s">
        <v>3061</v>
      </c>
      <c r="R216" t="s">
        <v>74</v>
      </c>
      <c r="S216" t="s">
        <v>74</v>
      </c>
      <c r="T216" t="s">
        <v>74</v>
      </c>
      <c r="U216" t="s">
        <v>74</v>
      </c>
      <c r="V216" t="s">
        <v>3071</v>
      </c>
      <c r="W216" t="s">
        <v>3072</v>
      </c>
      <c r="X216" t="s">
        <v>74</v>
      </c>
      <c r="Y216" t="s">
        <v>3073</v>
      </c>
      <c r="Z216" t="s">
        <v>74</v>
      </c>
      <c r="AA216" t="s">
        <v>74</v>
      </c>
      <c r="AB216" t="s">
        <v>74</v>
      </c>
      <c r="AC216" t="s">
        <v>74</v>
      </c>
      <c r="AD216" t="s">
        <v>74</v>
      </c>
      <c r="AE216" t="s">
        <v>74</v>
      </c>
      <c r="AF216" t="s">
        <v>74</v>
      </c>
      <c r="AG216">
        <v>26</v>
      </c>
      <c r="AH216">
        <v>0</v>
      </c>
      <c r="AI216">
        <v>0</v>
      </c>
      <c r="AJ216">
        <v>0</v>
      </c>
      <c r="AK216">
        <v>0</v>
      </c>
      <c r="AL216" t="s">
        <v>1100</v>
      </c>
      <c r="AM216" t="s">
        <v>1101</v>
      </c>
      <c r="AN216" t="s">
        <v>1102</v>
      </c>
      <c r="AO216" t="s">
        <v>74</v>
      </c>
      <c r="AP216" t="s">
        <v>74</v>
      </c>
      <c r="AQ216" t="s">
        <v>3074</v>
      </c>
      <c r="AR216" t="s">
        <v>74</v>
      </c>
      <c r="AS216" t="s">
        <v>74</v>
      </c>
      <c r="AT216" t="s">
        <v>74</v>
      </c>
      <c r="AU216">
        <v>1999</v>
      </c>
      <c r="AV216" t="s">
        <v>74</v>
      </c>
      <c r="AW216" t="s">
        <v>74</v>
      </c>
      <c r="AX216" t="s">
        <v>74</v>
      </c>
      <c r="AY216" t="s">
        <v>74</v>
      </c>
      <c r="AZ216" t="s">
        <v>74</v>
      </c>
      <c r="BA216" t="s">
        <v>74</v>
      </c>
      <c r="BB216">
        <v>555</v>
      </c>
      <c r="BC216">
        <v>566</v>
      </c>
      <c r="BD216" t="s">
        <v>74</v>
      </c>
      <c r="BE216" t="s">
        <v>74</v>
      </c>
      <c r="BF216" t="s">
        <v>74</v>
      </c>
      <c r="BG216" t="s">
        <v>74</v>
      </c>
      <c r="BH216" t="s">
        <v>74</v>
      </c>
      <c r="BI216">
        <v>12</v>
      </c>
      <c r="BJ216" t="s">
        <v>434</v>
      </c>
      <c r="BK216" t="s">
        <v>171</v>
      </c>
      <c r="BL216" t="s">
        <v>321</v>
      </c>
      <c r="BM216" t="s">
        <v>3075</v>
      </c>
      <c r="BN216" t="s">
        <v>74</v>
      </c>
      <c r="BO216" t="s">
        <v>74</v>
      </c>
      <c r="BP216" t="s">
        <v>74</v>
      </c>
      <c r="BQ216" t="s">
        <v>74</v>
      </c>
      <c r="BR216" t="s">
        <v>98</v>
      </c>
      <c r="BS216" t="s">
        <v>3076</v>
      </c>
      <c r="BT216" t="str">
        <f>HYPERLINK("https%3A%2F%2Fwww.webofscience.com%2Fwos%2Fwoscc%2Ffull-record%2FWOS:000082929000012","View Full Record in Web of Science")</f>
        <v>View Full Record in Web of Science</v>
      </c>
    </row>
    <row r="217" spans="1:72" x14ac:dyDescent="0.15">
      <c r="A217" t="s">
        <v>147</v>
      </c>
      <c r="B217" t="s">
        <v>3077</v>
      </c>
      <c r="C217" t="s">
        <v>74</v>
      </c>
      <c r="D217" t="s">
        <v>3078</v>
      </c>
      <c r="E217" t="s">
        <v>74</v>
      </c>
      <c r="F217" t="s">
        <v>3077</v>
      </c>
      <c r="G217" t="s">
        <v>74</v>
      </c>
      <c r="H217" t="s">
        <v>74</v>
      </c>
      <c r="I217" t="s">
        <v>3079</v>
      </c>
      <c r="J217" t="s">
        <v>3080</v>
      </c>
      <c r="K217" t="s">
        <v>3081</v>
      </c>
      <c r="L217" t="s">
        <v>74</v>
      </c>
      <c r="M217" t="s">
        <v>77</v>
      </c>
      <c r="N217" t="s">
        <v>153</v>
      </c>
      <c r="O217" t="s">
        <v>3082</v>
      </c>
      <c r="P217" t="s">
        <v>3083</v>
      </c>
      <c r="Q217" t="s">
        <v>3084</v>
      </c>
      <c r="R217" t="s">
        <v>74</v>
      </c>
      <c r="S217" t="s">
        <v>74</v>
      </c>
      <c r="T217" t="s">
        <v>74</v>
      </c>
      <c r="U217" t="s">
        <v>74</v>
      </c>
      <c r="V217" t="s">
        <v>3085</v>
      </c>
      <c r="W217" t="s">
        <v>3086</v>
      </c>
      <c r="X217" t="s">
        <v>74</v>
      </c>
      <c r="Y217" t="s">
        <v>3087</v>
      </c>
      <c r="Z217" t="s">
        <v>74</v>
      </c>
      <c r="AA217" t="s">
        <v>74</v>
      </c>
      <c r="AB217" t="s">
        <v>74</v>
      </c>
      <c r="AC217" t="s">
        <v>74</v>
      </c>
      <c r="AD217" t="s">
        <v>74</v>
      </c>
      <c r="AE217" t="s">
        <v>74</v>
      </c>
      <c r="AF217" t="s">
        <v>74</v>
      </c>
      <c r="AG217">
        <v>0</v>
      </c>
      <c r="AH217">
        <v>0</v>
      </c>
      <c r="AI217">
        <v>0</v>
      </c>
      <c r="AJ217">
        <v>0</v>
      </c>
      <c r="AK217">
        <v>0</v>
      </c>
      <c r="AL217" t="s">
        <v>3088</v>
      </c>
      <c r="AM217" t="s">
        <v>3089</v>
      </c>
      <c r="AN217" t="s">
        <v>3090</v>
      </c>
      <c r="AO217" t="s">
        <v>3091</v>
      </c>
      <c r="AP217" t="s">
        <v>74</v>
      </c>
      <c r="AQ217" t="s">
        <v>3092</v>
      </c>
      <c r="AR217" t="s">
        <v>3093</v>
      </c>
      <c r="AS217" t="s">
        <v>74</v>
      </c>
      <c r="AT217" t="s">
        <v>74</v>
      </c>
      <c r="AU217">
        <v>1999</v>
      </c>
      <c r="AV217" t="s">
        <v>74</v>
      </c>
      <c r="AW217" t="s">
        <v>74</v>
      </c>
      <c r="AX217" t="s">
        <v>74</v>
      </c>
      <c r="AY217" t="s">
        <v>74</v>
      </c>
      <c r="AZ217" t="s">
        <v>74</v>
      </c>
      <c r="BA217" t="s">
        <v>74</v>
      </c>
      <c r="BB217">
        <v>654</v>
      </c>
      <c r="BC217">
        <v>658</v>
      </c>
      <c r="BD217" t="s">
        <v>74</v>
      </c>
      <c r="BE217" t="s">
        <v>74</v>
      </c>
      <c r="BF217" t="s">
        <v>74</v>
      </c>
      <c r="BG217" t="s">
        <v>74</v>
      </c>
      <c r="BH217" t="s">
        <v>74</v>
      </c>
      <c r="BI217">
        <v>3</v>
      </c>
      <c r="BJ217" t="s">
        <v>3094</v>
      </c>
      <c r="BK217" t="s">
        <v>171</v>
      </c>
      <c r="BL217" t="s">
        <v>3095</v>
      </c>
      <c r="BM217" t="s">
        <v>3096</v>
      </c>
      <c r="BN217" t="s">
        <v>74</v>
      </c>
      <c r="BO217" t="s">
        <v>74</v>
      </c>
      <c r="BP217" t="s">
        <v>74</v>
      </c>
      <c r="BQ217" t="s">
        <v>74</v>
      </c>
      <c r="BR217" t="s">
        <v>98</v>
      </c>
      <c r="BS217" t="s">
        <v>3097</v>
      </c>
      <c r="BT217" t="str">
        <f>HYPERLINK("https%3A%2F%2Fwww.webofscience.com%2Fwos%2Fwoscc%2Ffull-record%2FWOS:000080987700099","View Full Record in Web of Science")</f>
        <v>View Full Record in Web of Science</v>
      </c>
    </row>
    <row r="218" spans="1:72" x14ac:dyDescent="0.15">
      <c r="A218" t="s">
        <v>147</v>
      </c>
      <c r="B218" t="s">
        <v>3098</v>
      </c>
      <c r="C218" t="s">
        <v>74</v>
      </c>
      <c r="D218" t="s">
        <v>3099</v>
      </c>
      <c r="E218" t="s">
        <v>74</v>
      </c>
      <c r="F218" t="s">
        <v>3098</v>
      </c>
      <c r="G218" t="s">
        <v>74</v>
      </c>
      <c r="H218" t="s">
        <v>74</v>
      </c>
      <c r="I218" t="s">
        <v>3100</v>
      </c>
      <c r="J218" t="s">
        <v>3101</v>
      </c>
      <c r="K218" t="s">
        <v>74</v>
      </c>
      <c r="L218" t="s">
        <v>74</v>
      </c>
      <c r="M218" t="s">
        <v>2510</v>
      </c>
      <c r="N218" t="s">
        <v>153</v>
      </c>
      <c r="O218" t="s">
        <v>3102</v>
      </c>
      <c r="P218" t="s">
        <v>3103</v>
      </c>
      <c r="Q218" t="s">
        <v>3104</v>
      </c>
      <c r="R218" t="s">
        <v>74</v>
      </c>
      <c r="S218" t="s">
        <v>74</v>
      </c>
      <c r="T218" t="s">
        <v>74</v>
      </c>
      <c r="U218" t="s">
        <v>74</v>
      </c>
      <c r="V218" t="s">
        <v>74</v>
      </c>
      <c r="W218" t="s">
        <v>3105</v>
      </c>
      <c r="X218" t="s">
        <v>577</v>
      </c>
      <c r="Y218" t="s">
        <v>3106</v>
      </c>
      <c r="Z218" t="s">
        <v>74</v>
      </c>
      <c r="AA218" t="s">
        <v>74</v>
      </c>
      <c r="AB218" t="s">
        <v>74</v>
      </c>
      <c r="AC218" t="s">
        <v>74</v>
      </c>
      <c r="AD218" t="s">
        <v>74</v>
      </c>
      <c r="AE218" t="s">
        <v>74</v>
      </c>
      <c r="AF218" t="s">
        <v>74</v>
      </c>
      <c r="AG218">
        <v>0</v>
      </c>
      <c r="AH218">
        <v>0</v>
      </c>
      <c r="AI218">
        <v>0</v>
      </c>
      <c r="AJ218">
        <v>0</v>
      </c>
      <c r="AK218">
        <v>0</v>
      </c>
      <c r="AL218" t="s">
        <v>3088</v>
      </c>
      <c r="AM218" t="s">
        <v>3089</v>
      </c>
      <c r="AN218" t="s">
        <v>3090</v>
      </c>
      <c r="AO218" t="s">
        <v>74</v>
      </c>
      <c r="AP218" t="s">
        <v>74</v>
      </c>
      <c r="AQ218" t="s">
        <v>3107</v>
      </c>
      <c r="AR218" t="s">
        <v>74</v>
      </c>
      <c r="AS218" t="s">
        <v>74</v>
      </c>
      <c r="AT218" t="s">
        <v>74</v>
      </c>
      <c r="AU218">
        <v>1999</v>
      </c>
      <c r="AV218" t="s">
        <v>74</v>
      </c>
      <c r="AW218" t="s">
        <v>74</v>
      </c>
      <c r="AX218" t="s">
        <v>74</v>
      </c>
      <c r="AY218" t="s">
        <v>74</v>
      </c>
      <c r="AZ218" t="s">
        <v>74</v>
      </c>
      <c r="BA218" t="s">
        <v>74</v>
      </c>
      <c r="BB218">
        <v>93</v>
      </c>
      <c r="BC218">
        <v>95</v>
      </c>
      <c r="BD218" t="s">
        <v>74</v>
      </c>
      <c r="BE218" t="s">
        <v>74</v>
      </c>
      <c r="BF218" t="s">
        <v>74</v>
      </c>
      <c r="BG218" t="s">
        <v>74</v>
      </c>
      <c r="BH218" t="s">
        <v>74</v>
      </c>
      <c r="BI218">
        <v>3</v>
      </c>
      <c r="BJ218" t="s">
        <v>3108</v>
      </c>
      <c r="BK218" t="s">
        <v>171</v>
      </c>
      <c r="BL218" t="s">
        <v>321</v>
      </c>
      <c r="BM218" t="s">
        <v>3109</v>
      </c>
      <c r="BN218" t="s">
        <v>74</v>
      </c>
      <c r="BO218" t="s">
        <v>74</v>
      </c>
      <c r="BP218" t="s">
        <v>74</v>
      </c>
      <c r="BQ218" t="s">
        <v>74</v>
      </c>
      <c r="BR218" t="s">
        <v>98</v>
      </c>
      <c r="BS218" t="s">
        <v>3110</v>
      </c>
      <c r="BT218" t="str">
        <f>HYPERLINK("https%3A%2F%2Fwww.webofscience.com%2Fwos%2Fwoscc%2Ffull-record%2FWOS:000085827100034","View Full Record in Web of Science")</f>
        <v>View Full Record in Web of Science</v>
      </c>
    </row>
    <row r="219" spans="1:72" x14ac:dyDescent="0.15">
      <c r="A219" t="s">
        <v>147</v>
      </c>
      <c r="B219" t="s">
        <v>3111</v>
      </c>
      <c r="C219" t="s">
        <v>74</v>
      </c>
      <c r="D219" t="s">
        <v>3112</v>
      </c>
      <c r="E219" t="s">
        <v>74</v>
      </c>
      <c r="F219" t="s">
        <v>3111</v>
      </c>
      <c r="G219" t="s">
        <v>74</v>
      </c>
      <c r="H219" t="s">
        <v>74</v>
      </c>
      <c r="I219" t="s">
        <v>3113</v>
      </c>
      <c r="J219" t="s">
        <v>3114</v>
      </c>
      <c r="K219" t="s">
        <v>74</v>
      </c>
      <c r="L219" t="s">
        <v>74</v>
      </c>
      <c r="M219" t="s">
        <v>77</v>
      </c>
      <c r="N219" t="s">
        <v>153</v>
      </c>
      <c r="O219" t="s">
        <v>3115</v>
      </c>
      <c r="P219" t="s">
        <v>3116</v>
      </c>
      <c r="Q219" t="s">
        <v>3117</v>
      </c>
      <c r="R219" t="s">
        <v>74</v>
      </c>
      <c r="S219" t="s">
        <v>74</v>
      </c>
      <c r="T219" t="s">
        <v>3118</v>
      </c>
      <c r="U219" t="s">
        <v>3119</v>
      </c>
      <c r="V219" t="s">
        <v>3120</v>
      </c>
      <c r="W219" t="s">
        <v>3121</v>
      </c>
      <c r="X219" t="s">
        <v>3122</v>
      </c>
      <c r="Y219" t="s">
        <v>3123</v>
      </c>
      <c r="Z219" t="s">
        <v>74</v>
      </c>
      <c r="AA219" t="s">
        <v>74</v>
      </c>
      <c r="AB219" t="s">
        <v>74</v>
      </c>
      <c r="AC219" t="s">
        <v>74</v>
      </c>
      <c r="AD219" t="s">
        <v>74</v>
      </c>
      <c r="AE219" t="s">
        <v>74</v>
      </c>
      <c r="AF219" t="s">
        <v>74</v>
      </c>
      <c r="AG219">
        <v>21</v>
      </c>
      <c r="AH219">
        <v>3</v>
      </c>
      <c r="AI219">
        <v>3</v>
      </c>
      <c r="AJ219">
        <v>0</v>
      </c>
      <c r="AK219">
        <v>2</v>
      </c>
      <c r="AL219" t="s">
        <v>3088</v>
      </c>
      <c r="AM219" t="s">
        <v>3089</v>
      </c>
      <c r="AN219" t="s">
        <v>3090</v>
      </c>
      <c r="AO219" t="s">
        <v>74</v>
      </c>
      <c r="AP219" t="s">
        <v>74</v>
      </c>
      <c r="AQ219" t="s">
        <v>3124</v>
      </c>
      <c r="AR219" t="s">
        <v>74</v>
      </c>
      <c r="AS219" t="s">
        <v>74</v>
      </c>
      <c r="AT219" t="s">
        <v>74</v>
      </c>
      <c r="AU219">
        <v>1999</v>
      </c>
      <c r="AV219" t="s">
        <v>74</v>
      </c>
      <c r="AW219" t="s">
        <v>74</v>
      </c>
      <c r="AX219" t="s">
        <v>74</v>
      </c>
      <c r="AY219" t="s">
        <v>74</v>
      </c>
      <c r="AZ219" t="s">
        <v>74</v>
      </c>
      <c r="BA219" t="s">
        <v>74</v>
      </c>
      <c r="BB219">
        <v>145</v>
      </c>
      <c r="BC219">
        <v>151</v>
      </c>
      <c r="BD219" t="s">
        <v>74</v>
      </c>
      <c r="BE219" t="s">
        <v>74</v>
      </c>
      <c r="BF219" t="s">
        <v>74</v>
      </c>
      <c r="BG219" t="s">
        <v>74</v>
      </c>
      <c r="BH219" t="s">
        <v>74</v>
      </c>
      <c r="BI219">
        <v>7</v>
      </c>
      <c r="BJ219" t="s">
        <v>3125</v>
      </c>
      <c r="BK219" t="s">
        <v>171</v>
      </c>
      <c r="BL219" t="s">
        <v>3126</v>
      </c>
      <c r="BM219" t="s">
        <v>3127</v>
      </c>
      <c r="BN219" t="s">
        <v>74</v>
      </c>
      <c r="BO219" t="s">
        <v>74</v>
      </c>
      <c r="BP219" t="s">
        <v>74</v>
      </c>
      <c r="BQ219" t="s">
        <v>74</v>
      </c>
      <c r="BR219" t="s">
        <v>98</v>
      </c>
      <c r="BS219" t="s">
        <v>3128</v>
      </c>
      <c r="BT219" t="str">
        <f>HYPERLINK("https%3A%2F%2Fwww.webofscience.com%2Fwos%2Fwoscc%2Ffull-record%2FWOS:000084757500022","View Full Record in Web of Science")</f>
        <v>View Full Record in Web of Science</v>
      </c>
    </row>
    <row r="220" spans="1:72" x14ac:dyDescent="0.15">
      <c r="A220" t="s">
        <v>147</v>
      </c>
      <c r="B220" t="s">
        <v>3129</v>
      </c>
      <c r="C220" t="s">
        <v>74</v>
      </c>
      <c r="D220" t="s">
        <v>3112</v>
      </c>
      <c r="E220" t="s">
        <v>74</v>
      </c>
      <c r="F220" t="s">
        <v>3129</v>
      </c>
      <c r="G220" t="s">
        <v>74</v>
      </c>
      <c r="H220" t="s">
        <v>74</v>
      </c>
      <c r="I220" t="s">
        <v>3130</v>
      </c>
      <c r="J220" t="s">
        <v>3114</v>
      </c>
      <c r="K220" t="s">
        <v>74</v>
      </c>
      <c r="L220" t="s">
        <v>74</v>
      </c>
      <c r="M220" t="s">
        <v>77</v>
      </c>
      <c r="N220" t="s">
        <v>153</v>
      </c>
      <c r="O220" t="s">
        <v>3115</v>
      </c>
      <c r="P220" t="s">
        <v>3116</v>
      </c>
      <c r="Q220" t="s">
        <v>3117</v>
      </c>
      <c r="R220" t="s">
        <v>74</v>
      </c>
      <c r="S220" t="s">
        <v>74</v>
      </c>
      <c r="T220" t="s">
        <v>3131</v>
      </c>
      <c r="U220" t="s">
        <v>3132</v>
      </c>
      <c r="V220" t="s">
        <v>3133</v>
      </c>
      <c r="W220" t="s">
        <v>3134</v>
      </c>
      <c r="X220" t="s">
        <v>3122</v>
      </c>
      <c r="Y220" t="s">
        <v>3135</v>
      </c>
      <c r="Z220" t="s">
        <v>74</v>
      </c>
      <c r="AA220" t="s">
        <v>3136</v>
      </c>
      <c r="AB220" t="s">
        <v>74</v>
      </c>
      <c r="AC220" t="s">
        <v>74</v>
      </c>
      <c r="AD220" t="s">
        <v>74</v>
      </c>
      <c r="AE220" t="s">
        <v>74</v>
      </c>
      <c r="AF220" t="s">
        <v>74</v>
      </c>
      <c r="AG220">
        <v>24</v>
      </c>
      <c r="AH220">
        <v>0</v>
      </c>
      <c r="AI220">
        <v>0</v>
      </c>
      <c r="AJ220">
        <v>0</v>
      </c>
      <c r="AK220">
        <v>0</v>
      </c>
      <c r="AL220" t="s">
        <v>3088</v>
      </c>
      <c r="AM220" t="s">
        <v>3089</v>
      </c>
      <c r="AN220" t="s">
        <v>3090</v>
      </c>
      <c r="AO220" t="s">
        <v>74</v>
      </c>
      <c r="AP220" t="s">
        <v>74</v>
      </c>
      <c r="AQ220" t="s">
        <v>3124</v>
      </c>
      <c r="AR220" t="s">
        <v>74</v>
      </c>
      <c r="AS220" t="s">
        <v>74</v>
      </c>
      <c r="AT220" t="s">
        <v>74</v>
      </c>
      <c r="AU220">
        <v>1999</v>
      </c>
      <c r="AV220" t="s">
        <v>74</v>
      </c>
      <c r="AW220" t="s">
        <v>74</v>
      </c>
      <c r="AX220" t="s">
        <v>74</v>
      </c>
      <c r="AY220" t="s">
        <v>74</v>
      </c>
      <c r="AZ220" t="s">
        <v>74</v>
      </c>
      <c r="BA220" t="s">
        <v>74</v>
      </c>
      <c r="BB220">
        <v>208</v>
      </c>
      <c r="BC220">
        <v>215</v>
      </c>
      <c r="BD220" t="s">
        <v>74</v>
      </c>
      <c r="BE220" t="s">
        <v>74</v>
      </c>
      <c r="BF220" t="s">
        <v>74</v>
      </c>
      <c r="BG220" t="s">
        <v>74</v>
      </c>
      <c r="BH220" t="s">
        <v>74</v>
      </c>
      <c r="BI220">
        <v>8</v>
      </c>
      <c r="BJ220" t="s">
        <v>3125</v>
      </c>
      <c r="BK220" t="s">
        <v>171</v>
      </c>
      <c r="BL220" t="s">
        <v>3126</v>
      </c>
      <c r="BM220" t="s">
        <v>3127</v>
      </c>
      <c r="BN220" t="s">
        <v>74</v>
      </c>
      <c r="BO220" t="s">
        <v>74</v>
      </c>
      <c r="BP220" t="s">
        <v>74</v>
      </c>
      <c r="BQ220" t="s">
        <v>74</v>
      </c>
      <c r="BR220" t="s">
        <v>98</v>
      </c>
      <c r="BS220" t="s">
        <v>3137</v>
      </c>
      <c r="BT220" t="str">
        <f>HYPERLINK("https%3A%2F%2Fwww.webofscience.com%2Fwos%2Fwoscc%2Ffull-record%2FWOS:000084757500032","View Full Record in Web of Science")</f>
        <v>View Full Record in Web of Science</v>
      </c>
    </row>
    <row r="221" spans="1:72" x14ac:dyDescent="0.15">
      <c r="A221" t="s">
        <v>147</v>
      </c>
      <c r="B221" t="s">
        <v>3138</v>
      </c>
      <c r="C221" t="s">
        <v>74</v>
      </c>
      <c r="D221" t="s">
        <v>74</v>
      </c>
      <c r="E221" t="s">
        <v>3139</v>
      </c>
      <c r="F221" t="s">
        <v>3138</v>
      </c>
      <c r="G221" t="s">
        <v>74</v>
      </c>
      <c r="H221" t="s">
        <v>74</v>
      </c>
      <c r="I221" t="s">
        <v>3140</v>
      </c>
      <c r="J221" t="s">
        <v>3141</v>
      </c>
      <c r="K221" t="s">
        <v>74</v>
      </c>
      <c r="L221" t="s">
        <v>74</v>
      </c>
      <c r="M221" t="s">
        <v>77</v>
      </c>
      <c r="N221" t="s">
        <v>153</v>
      </c>
      <c r="O221" t="s">
        <v>3142</v>
      </c>
      <c r="P221" t="s">
        <v>3143</v>
      </c>
      <c r="Q221" t="s">
        <v>3144</v>
      </c>
      <c r="R221" t="s">
        <v>74</v>
      </c>
      <c r="S221" t="s">
        <v>74</v>
      </c>
      <c r="T221" t="s">
        <v>74</v>
      </c>
      <c r="U221" t="s">
        <v>74</v>
      </c>
      <c r="V221" t="s">
        <v>3145</v>
      </c>
      <c r="W221" t="s">
        <v>74</v>
      </c>
      <c r="X221" t="s">
        <v>74</v>
      </c>
      <c r="Y221" t="s">
        <v>74</v>
      </c>
      <c r="Z221" t="s">
        <v>74</v>
      </c>
      <c r="AA221" t="s">
        <v>74</v>
      </c>
      <c r="AB221" t="s">
        <v>74</v>
      </c>
      <c r="AC221" t="s">
        <v>74</v>
      </c>
      <c r="AD221" t="s">
        <v>74</v>
      </c>
      <c r="AE221" t="s">
        <v>74</v>
      </c>
      <c r="AF221" t="s">
        <v>74</v>
      </c>
      <c r="AG221">
        <v>4</v>
      </c>
      <c r="AH221">
        <v>0</v>
      </c>
      <c r="AI221">
        <v>0</v>
      </c>
      <c r="AJ221">
        <v>0</v>
      </c>
      <c r="AK221">
        <v>0</v>
      </c>
      <c r="AL221" t="s">
        <v>3146</v>
      </c>
      <c r="AM221" t="s">
        <v>3147</v>
      </c>
      <c r="AN221" t="s">
        <v>3148</v>
      </c>
      <c r="AO221" t="s">
        <v>74</v>
      </c>
      <c r="AP221" t="s">
        <v>74</v>
      </c>
      <c r="AQ221" t="s">
        <v>74</v>
      </c>
      <c r="AR221" t="s">
        <v>74</v>
      </c>
      <c r="AS221" t="s">
        <v>74</v>
      </c>
      <c r="AT221" t="s">
        <v>74</v>
      </c>
      <c r="AU221">
        <v>1999</v>
      </c>
      <c r="AV221" t="s">
        <v>74</v>
      </c>
      <c r="AW221" t="s">
        <v>74</v>
      </c>
      <c r="AX221" t="s">
        <v>74</v>
      </c>
      <c r="AY221" t="s">
        <v>74</v>
      </c>
      <c r="AZ221" t="s">
        <v>74</v>
      </c>
      <c r="BA221" t="s">
        <v>74</v>
      </c>
      <c r="BB221">
        <v>131</v>
      </c>
      <c r="BC221">
        <v>140</v>
      </c>
      <c r="BD221" t="s">
        <v>74</v>
      </c>
      <c r="BE221" t="s">
        <v>74</v>
      </c>
      <c r="BF221" t="s">
        <v>74</v>
      </c>
      <c r="BG221" t="s">
        <v>74</v>
      </c>
      <c r="BH221" t="s">
        <v>74</v>
      </c>
      <c r="BI221">
        <v>10</v>
      </c>
      <c r="BJ221" t="s">
        <v>3149</v>
      </c>
      <c r="BK221" t="s">
        <v>171</v>
      </c>
      <c r="BL221" t="s">
        <v>321</v>
      </c>
      <c r="BM221" t="s">
        <v>3150</v>
      </c>
      <c r="BN221" t="s">
        <v>74</v>
      </c>
      <c r="BO221" t="s">
        <v>74</v>
      </c>
      <c r="BP221" t="s">
        <v>74</v>
      </c>
      <c r="BQ221" t="s">
        <v>74</v>
      </c>
      <c r="BR221" t="s">
        <v>98</v>
      </c>
      <c r="BS221" t="s">
        <v>3151</v>
      </c>
      <c r="BT221" t="str">
        <f>HYPERLINK("https%3A%2F%2Fwww.webofscience.com%2Fwos%2Fwoscc%2Ffull-record%2FWOS:000087293700012","View Full Record in Web of Science")</f>
        <v>View Full Record in Web of Science</v>
      </c>
    </row>
    <row r="222" spans="1:72" x14ac:dyDescent="0.15">
      <c r="A222" t="s">
        <v>72</v>
      </c>
      <c r="B222" t="s">
        <v>3152</v>
      </c>
      <c r="C222" t="s">
        <v>74</v>
      </c>
      <c r="D222" t="s">
        <v>74</v>
      </c>
      <c r="E222" t="s">
        <v>74</v>
      </c>
      <c r="F222" t="s">
        <v>3152</v>
      </c>
      <c r="G222" t="s">
        <v>74</v>
      </c>
      <c r="H222" t="s">
        <v>74</v>
      </c>
      <c r="I222" t="s">
        <v>3153</v>
      </c>
      <c r="J222" t="s">
        <v>3154</v>
      </c>
      <c r="K222" t="s">
        <v>74</v>
      </c>
      <c r="L222" t="s">
        <v>74</v>
      </c>
      <c r="M222" t="s">
        <v>77</v>
      </c>
      <c r="N222" t="s">
        <v>78</v>
      </c>
      <c r="O222" t="s">
        <v>74</v>
      </c>
      <c r="P222" t="s">
        <v>74</v>
      </c>
      <c r="Q222" t="s">
        <v>74</v>
      </c>
      <c r="R222" t="s">
        <v>74</v>
      </c>
      <c r="S222" t="s">
        <v>74</v>
      </c>
      <c r="T222" t="s">
        <v>74</v>
      </c>
      <c r="U222" t="s">
        <v>3155</v>
      </c>
      <c r="V222" t="s">
        <v>3156</v>
      </c>
      <c r="W222" t="s">
        <v>3157</v>
      </c>
      <c r="X222" t="s">
        <v>3158</v>
      </c>
      <c r="Y222" t="s">
        <v>3159</v>
      </c>
      <c r="Z222" t="s">
        <v>74</v>
      </c>
      <c r="AA222" t="s">
        <v>74</v>
      </c>
      <c r="AB222" t="s">
        <v>74</v>
      </c>
      <c r="AC222" t="s">
        <v>74</v>
      </c>
      <c r="AD222" t="s">
        <v>74</v>
      </c>
      <c r="AE222" t="s">
        <v>74</v>
      </c>
      <c r="AF222" t="s">
        <v>74</v>
      </c>
      <c r="AG222">
        <v>72</v>
      </c>
      <c r="AH222">
        <v>111</v>
      </c>
      <c r="AI222">
        <v>112</v>
      </c>
      <c r="AJ222">
        <v>0</v>
      </c>
      <c r="AK222">
        <v>14</v>
      </c>
      <c r="AL222" t="s">
        <v>445</v>
      </c>
      <c r="AM222" t="s">
        <v>229</v>
      </c>
      <c r="AN222" t="s">
        <v>446</v>
      </c>
      <c r="AO222" t="s">
        <v>3160</v>
      </c>
      <c r="AP222" t="s">
        <v>3161</v>
      </c>
      <c r="AQ222" t="s">
        <v>74</v>
      </c>
      <c r="AR222" t="s">
        <v>3162</v>
      </c>
      <c r="AS222" t="s">
        <v>3163</v>
      </c>
      <c r="AT222" t="s">
        <v>74</v>
      </c>
      <c r="AU222">
        <v>1999</v>
      </c>
      <c r="AV222">
        <v>43</v>
      </c>
      <c r="AW222">
        <v>1</v>
      </c>
      <c r="AX222" t="s">
        <v>74</v>
      </c>
      <c r="AY222" t="s">
        <v>74</v>
      </c>
      <c r="AZ222" t="s">
        <v>74</v>
      </c>
      <c r="BA222" t="s">
        <v>74</v>
      </c>
      <c r="BB222">
        <v>1</v>
      </c>
      <c r="BC222" t="s">
        <v>3164</v>
      </c>
      <c r="BD222" t="s">
        <v>74</v>
      </c>
      <c r="BE222" t="s">
        <v>3165</v>
      </c>
      <c r="BF222" t="str">
        <f>HYPERLINK("http://dx.doi.org/10.1016/S0079-6611(99)00005-1","http://dx.doi.org/10.1016/S0079-6611(99)00005-1")</f>
        <v>http://dx.doi.org/10.1016/S0079-6611(99)00005-1</v>
      </c>
      <c r="BG222" t="s">
        <v>74</v>
      </c>
      <c r="BH222" t="s">
        <v>74</v>
      </c>
      <c r="BI222">
        <v>53</v>
      </c>
      <c r="BJ222" t="s">
        <v>451</v>
      </c>
      <c r="BK222" t="s">
        <v>95</v>
      </c>
      <c r="BL222" t="s">
        <v>451</v>
      </c>
      <c r="BM222" t="s">
        <v>3166</v>
      </c>
      <c r="BN222" t="s">
        <v>74</v>
      </c>
      <c r="BO222" t="s">
        <v>74</v>
      </c>
      <c r="BP222" t="s">
        <v>74</v>
      </c>
      <c r="BQ222" t="s">
        <v>74</v>
      </c>
      <c r="BR222" t="s">
        <v>98</v>
      </c>
      <c r="BS222" t="s">
        <v>3167</v>
      </c>
      <c r="BT222" t="str">
        <f>HYPERLINK("https%3A%2F%2Fwww.webofscience.com%2Fwos%2Fwoscc%2Ffull-record%2FWOS:000081126800001","View Full Record in Web of Science")</f>
        <v>View Full Record in Web of Science</v>
      </c>
    </row>
    <row r="223" spans="1:72" x14ac:dyDescent="0.15">
      <c r="A223" t="s">
        <v>72</v>
      </c>
      <c r="B223" t="s">
        <v>3168</v>
      </c>
      <c r="C223" t="s">
        <v>74</v>
      </c>
      <c r="D223" t="s">
        <v>74</v>
      </c>
      <c r="E223" t="s">
        <v>74</v>
      </c>
      <c r="F223" t="s">
        <v>3168</v>
      </c>
      <c r="G223" t="s">
        <v>74</v>
      </c>
      <c r="H223" t="s">
        <v>74</v>
      </c>
      <c r="I223" t="s">
        <v>3169</v>
      </c>
      <c r="J223" t="s">
        <v>3154</v>
      </c>
      <c r="K223" t="s">
        <v>74</v>
      </c>
      <c r="L223" t="s">
        <v>74</v>
      </c>
      <c r="M223" t="s">
        <v>77</v>
      </c>
      <c r="N223" t="s">
        <v>78</v>
      </c>
      <c r="O223" t="s">
        <v>74</v>
      </c>
      <c r="P223" t="s">
        <v>74</v>
      </c>
      <c r="Q223" t="s">
        <v>74</v>
      </c>
      <c r="R223" t="s">
        <v>74</v>
      </c>
      <c r="S223" t="s">
        <v>74</v>
      </c>
      <c r="T223" t="s">
        <v>74</v>
      </c>
      <c r="U223" t="s">
        <v>3170</v>
      </c>
      <c r="V223" t="s">
        <v>3171</v>
      </c>
      <c r="W223" t="s">
        <v>3172</v>
      </c>
      <c r="X223" t="s">
        <v>3173</v>
      </c>
      <c r="Y223" t="s">
        <v>3174</v>
      </c>
      <c r="Z223" t="s">
        <v>3175</v>
      </c>
      <c r="AA223" t="s">
        <v>3176</v>
      </c>
      <c r="AB223" t="s">
        <v>3177</v>
      </c>
      <c r="AC223" t="s">
        <v>74</v>
      </c>
      <c r="AD223" t="s">
        <v>74</v>
      </c>
      <c r="AE223" t="s">
        <v>74</v>
      </c>
      <c r="AF223" t="s">
        <v>74</v>
      </c>
      <c r="AG223">
        <v>101</v>
      </c>
      <c r="AH223">
        <v>784</v>
      </c>
      <c r="AI223">
        <v>799</v>
      </c>
      <c r="AJ223">
        <v>2</v>
      </c>
      <c r="AK223">
        <v>170</v>
      </c>
      <c r="AL223" t="s">
        <v>445</v>
      </c>
      <c r="AM223" t="s">
        <v>229</v>
      </c>
      <c r="AN223" t="s">
        <v>446</v>
      </c>
      <c r="AO223" t="s">
        <v>3160</v>
      </c>
      <c r="AP223" t="s">
        <v>74</v>
      </c>
      <c r="AQ223" t="s">
        <v>74</v>
      </c>
      <c r="AR223" t="s">
        <v>3162</v>
      </c>
      <c r="AS223" t="s">
        <v>3163</v>
      </c>
      <c r="AT223" t="s">
        <v>74</v>
      </c>
      <c r="AU223">
        <v>1999</v>
      </c>
      <c r="AV223">
        <v>43</v>
      </c>
      <c r="AW223">
        <v>1</v>
      </c>
      <c r="AX223" t="s">
        <v>74</v>
      </c>
      <c r="AY223" t="s">
        <v>74</v>
      </c>
      <c r="AZ223" t="s">
        <v>74</v>
      </c>
      <c r="BA223" t="s">
        <v>74</v>
      </c>
      <c r="BB223">
        <v>55</v>
      </c>
      <c r="BC223">
        <v>109</v>
      </c>
      <c r="BD223" t="s">
        <v>74</v>
      </c>
      <c r="BE223" t="s">
        <v>3178</v>
      </c>
      <c r="BF223" t="str">
        <f>HYPERLINK("http://dx.doi.org/10.1016/S0079-6611(99)00004-X","http://dx.doi.org/10.1016/S0079-6611(99)00004-X")</f>
        <v>http://dx.doi.org/10.1016/S0079-6611(99)00004-X</v>
      </c>
      <c r="BG223" t="s">
        <v>74</v>
      </c>
      <c r="BH223" t="s">
        <v>74</v>
      </c>
      <c r="BI223">
        <v>55</v>
      </c>
      <c r="BJ223" t="s">
        <v>451</v>
      </c>
      <c r="BK223" t="s">
        <v>95</v>
      </c>
      <c r="BL223" t="s">
        <v>451</v>
      </c>
      <c r="BM223" t="s">
        <v>3166</v>
      </c>
      <c r="BN223" t="s">
        <v>74</v>
      </c>
      <c r="BO223" t="s">
        <v>74</v>
      </c>
      <c r="BP223" t="s">
        <v>74</v>
      </c>
      <c r="BQ223" t="s">
        <v>74</v>
      </c>
      <c r="BR223" t="s">
        <v>98</v>
      </c>
      <c r="BS223" t="s">
        <v>3179</v>
      </c>
      <c r="BT223" t="str">
        <f>HYPERLINK("https%3A%2F%2Fwww.webofscience.com%2Fwos%2Fwoscc%2Ffull-record%2FWOS:000081126800002","View Full Record in Web of Science")</f>
        <v>View Full Record in Web of Science</v>
      </c>
    </row>
    <row r="224" spans="1:72" x14ac:dyDescent="0.15">
      <c r="A224" t="s">
        <v>72</v>
      </c>
      <c r="B224" t="s">
        <v>3180</v>
      </c>
      <c r="C224" t="s">
        <v>74</v>
      </c>
      <c r="D224" t="s">
        <v>74</v>
      </c>
      <c r="E224" t="s">
        <v>74</v>
      </c>
      <c r="F224" t="s">
        <v>3180</v>
      </c>
      <c r="G224" t="s">
        <v>74</v>
      </c>
      <c r="H224" t="s">
        <v>74</v>
      </c>
      <c r="I224" t="s">
        <v>3181</v>
      </c>
      <c r="J224" t="s">
        <v>3182</v>
      </c>
      <c r="K224" t="s">
        <v>74</v>
      </c>
      <c r="L224" t="s">
        <v>74</v>
      </c>
      <c r="M224" t="s">
        <v>77</v>
      </c>
      <c r="N224" t="s">
        <v>103</v>
      </c>
      <c r="O224" t="s">
        <v>74</v>
      </c>
      <c r="P224" t="s">
        <v>74</v>
      </c>
      <c r="Q224" t="s">
        <v>74</v>
      </c>
      <c r="R224" t="s">
        <v>74</v>
      </c>
      <c r="S224" t="s">
        <v>74</v>
      </c>
      <c r="T224" t="s">
        <v>3183</v>
      </c>
      <c r="U224" t="s">
        <v>3184</v>
      </c>
      <c r="V224" t="s">
        <v>3185</v>
      </c>
      <c r="W224" t="s">
        <v>3186</v>
      </c>
      <c r="X224" t="s">
        <v>3187</v>
      </c>
      <c r="Y224" t="s">
        <v>3188</v>
      </c>
      <c r="Z224" t="s">
        <v>74</v>
      </c>
      <c r="AA224" t="s">
        <v>3189</v>
      </c>
      <c r="AB224" t="s">
        <v>74</v>
      </c>
      <c r="AC224" t="s">
        <v>74</v>
      </c>
      <c r="AD224" t="s">
        <v>74</v>
      </c>
      <c r="AE224" t="s">
        <v>74</v>
      </c>
      <c r="AF224" t="s">
        <v>74</v>
      </c>
      <c r="AG224">
        <v>38</v>
      </c>
      <c r="AH224">
        <v>44</v>
      </c>
      <c r="AI224">
        <v>50</v>
      </c>
      <c r="AJ224">
        <v>0</v>
      </c>
      <c r="AK224">
        <v>29</v>
      </c>
      <c r="AL224" t="s">
        <v>2263</v>
      </c>
      <c r="AM224" t="s">
        <v>2264</v>
      </c>
      <c r="AN224" t="s">
        <v>2265</v>
      </c>
      <c r="AO224" t="s">
        <v>3190</v>
      </c>
      <c r="AP224" t="s">
        <v>74</v>
      </c>
      <c r="AQ224" t="s">
        <v>74</v>
      </c>
      <c r="AR224" t="s">
        <v>3182</v>
      </c>
      <c r="AS224" t="s">
        <v>3191</v>
      </c>
      <c r="AT224" t="s">
        <v>74</v>
      </c>
      <c r="AU224">
        <v>1999</v>
      </c>
      <c r="AV224">
        <v>206</v>
      </c>
      <c r="AW224" t="s">
        <v>2597</v>
      </c>
      <c r="AX224" t="s">
        <v>74</v>
      </c>
      <c r="AY224" t="s">
        <v>74</v>
      </c>
      <c r="AZ224" t="s">
        <v>74</v>
      </c>
      <c r="BA224" t="s">
        <v>74</v>
      </c>
      <c r="BB224">
        <v>188</v>
      </c>
      <c r="BC224">
        <v>200</v>
      </c>
      <c r="BD224" t="s">
        <v>74</v>
      </c>
      <c r="BE224" t="s">
        <v>3192</v>
      </c>
      <c r="BF224" t="str">
        <f>HYPERLINK("http://dx.doi.org/10.1007/BF01279266","http://dx.doi.org/10.1007/BF01279266")</f>
        <v>http://dx.doi.org/10.1007/BF01279266</v>
      </c>
      <c r="BG224" t="s">
        <v>74</v>
      </c>
      <c r="BH224" t="s">
        <v>74</v>
      </c>
      <c r="BI224">
        <v>13</v>
      </c>
      <c r="BJ224" t="s">
        <v>3193</v>
      </c>
      <c r="BK224" t="s">
        <v>95</v>
      </c>
      <c r="BL224" t="s">
        <v>3193</v>
      </c>
      <c r="BM224" t="s">
        <v>3194</v>
      </c>
      <c r="BN224" t="s">
        <v>74</v>
      </c>
      <c r="BO224" t="s">
        <v>74</v>
      </c>
      <c r="BP224" t="s">
        <v>74</v>
      </c>
      <c r="BQ224" t="s">
        <v>74</v>
      </c>
      <c r="BR224" t="s">
        <v>98</v>
      </c>
      <c r="BS224" t="s">
        <v>3195</v>
      </c>
      <c r="BT224" t="str">
        <f>HYPERLINK("https%3A%2F%2Fwww.webofscience.com%2Fwos%2Fwoscc%2Ffull-record%2FWOS:000080047200020","View Full Record in Web of Science")</f>
        <v>View Full Record in Web of Science</v>
      </c>
    </row>
    <row r="225" spans="1:72" x14ac:dyDescent="0.15">
      <c r="A225" t="s">
        <v>72</v>
      </c>
      <c r="B225" t="s">
        <v>3196</v>
      </c>
      <c r="C225" t="s">
        <v>74</v>
      </c>
      <c r="D225" t="s">
        <v>74</v>
      </c>
      <c r="E225" t="s">
        <v>74</v>
      </c>
      <c r="F225" t="s">
        <v>3196</v>
      </c>
      <c r="G225" t="s">
        <v>74</v>
      </c>
      <c r="H225" t="s">
        <v>74</v>
      </c>
      <c r="I225" t="s">
        <v>3197</v>
      </c>
      <c r="J225" t="s">
        <v>3198</v>
      </c>
      <c r="K225" t="s">
        <v>74</v>
      </c>
      <c r="L225" t="s">
        <v>74</v>
      </c>
      <c r="M225" t="s">
        <v>77</v>
      </c>
      <c r="N225" t="s">
        <v>103</v>
      </c>
      <c r="O225" t="s">
        <v>74</v>
      </c>
      <c r="P225" t="s">
        <v>74</v>
      </c>
      <c r="Q225" t="s">
        <v>74</v>
      </c>
      <c r="R225" t="s">
        <v>74</v>
      </c>
      <c r="S225" t="s">
        <v>74</v>
      </c>
      <c r="T225" t="s">
        <v>3199</v>
      </c>
      <c r="U225" t="s">
        <v>3200</v>
      </c>
      <c r="V225" t="s">
        <v>3201</v>
      </c>
      <c r="W225" t="s">
        <v>3202</v>
      </c>
      <c r="X225" t="s">
        <v>3203</v>
      </c>
      <c r="Y225" t="s">
        <v>3204</v>
      </c>
      <c r="Z225" t="s">
        <v>74</v>
      </c>
      <c r="AA225" t="s">
        <v>3205</v>
      </c>
      <c r="AB225" t="s">
        <v>3206</v>
      </c>
      <c r="AC225" t="s">
        <v>74</v>
      </c>
      <c r="AD225" t="s">
        <v>74</v>
      </c>
      <c r="AE225" t="s">
        <v>74</v>
      </c>
      <c r="AF225" t="s">
        <v>74</v>
      </c>
      <c r="AG225">
        <v>64</v>
      </c>
      <c r="AH225">
        <v>125</v>
      </c>
      <c r="AI225">
        <v>131</v>
      </c>
      <c r="AJ225">
        <v>0</v>
      </c>
      <c r="AK225">
        <v>16</v>
      </c>
      <c r="AL225" t="s">
        <v>655</v>
      </c>
      <c r="AM225" t="s">
        <v>656</v>
      </c>
      <c r="AN225" t="s">
        <v>657</v>
      </c>
      <c r="AO225" t="s">
        <v>3207</v>
      </c>
      <c r="AP225" t="s">
        <v>3208</v>
      </c>
      <c r="AQ225" t="s">
        <v>74</v>
      </c>
      <c r="AR225" t="s">
        <v>3209</v>
      </c>
      <c r="AS225" t="s">
        <v>3210</v>
      </c>
      <c r="AT225" t="s">
        <v>143</v>
      </c>
      <c r="AU225">
        <v>1999</v>
      </c>
      <c r="AV225">
        <v>125</v>
      </c>
      <c r="AW225">
        <v>553</v>
      </c>
      <c r="AX225" t="s">
        <v>3211</v>
      </c>
      <c r="AY225" t="s">
        <v>74</v>
      </c>
      <c r="AZ225" t="s">
        <v>74</v>
      </c>
      <c r="BA225" t="s">
        <v>74</v>
      </c>
      <c r="BB225">
        <v>353</v>
      </c>
      <c r="BC225">
        <v>386</v>
      </c>
      <c r="BD225" t="s">
        <v>74</v>
      </c>
      <c r="BE225" t="s">
        <v>3212</v>
      </c>
      <c r="BF225" t="str">
        <f>HYPERLINK("http://dx.doi.org/10.1002/qj.49712555318","http://dx.doi.org/10.1002/qj.49712555318")</f>
        <v>http://dx.doi.org/10.1002/qj.49712555318</v>
      </c>
      <c r="BG225" t="s">
        <v>74</v>
      </c>
      <c r="BH225" t="s">
        <v>74</v>
      </c>
      <c r="BI225">
        <v>34</v>
      </c>
      <c r="BJ225" t="s">
        <v>1418</v>
      </c>
      <c r="BK225" t="s">
        <v>95</v>
      </c>
      <c r="BL225" t="s">
        <v>1418</v>
      </c>
      <c r="BM225" t="s">
        <v>3213</v>
      </c>
      <c r="BN225" t="s">
        <v>74</v>
      </c>
      <c r="BO225" t="s">
        <v>74</v>
      </c>
      <c r="BP225" t="s">
        <v>74</v>
      </c>
      <c r="BQ225" t="s">
        <v>74</v>
      </c>
      <c r="BR225" t="s">
        <v>98</v>
      </c>
      <c r="BS225" t="s">
        <v>3214</v>
      </c>
      <c r="BT225" t="str">
        <f>HYPERLINK("https%3A%2F%2Fwww.webofscience.com%2Fwos%2Fwoscc%2Ffull-record%2FWOS:000078558000016","View Full Record in Web of Science")</f>
        <v>View Full Record in Web of Science</v>
      </c>
    </row>
    <row r="226" spans="1:72" x14ac:dyDescent="0.15">
      <c r="A226" t="s">
        <v>72</v>
      </c>
      <c r="B226" t="s">
        <v>3215</v>
      </c>
      <c r="C226" t="s">
        <v>74</v>
      </c>
      <c r="D226" t="s">
        <v>74</v>
      </c>
      <c r="E226" t="s">
        <v>74</v>
      </c>
      <c r="F226" t="s">
        <v>3215</v>
      </c>
      <c r="G226" t="s">
        <v>74</v>
      </c>
      <c r="H226" t="s">
        <v>74</v>
      </c>
      <c r="I226" t="s">
        <v>3216</v>
      </c>
      <c r="J226" t="s">
        <v>3217</v>
      </c>
      <c r="K226" t="s">
        <v>74</v>
      </c>
      <c r="L226" t="s">
        <v>74</v>
      </c>
      <c r="M226" t="s">
        <v>77</v>
      </c>
      <c r="N226" t="s">
        <v>103</v>
      </c>
      <c r="O226" t="s">
        <v>74</v>
      </c>
      <c r="P226" t="s">
        <v>74</v>
      </c>
      <c r="Q226" t="s">
        <v>74</v>
      </c>
      <c r="R226" t="s">
        <v>74</v>
      </c>
      <c r="S226" t="s">
        <v>74</v>
      </c>
      <c r="T226" t="s">
        <v>74</v>
      </c>
      <c r="U226" t="s">
        <v>3218</v>
      </c>
      <c r="V226" t="s">
        <v>3219</v>
      </c>
      <c r="W226" t="s">
        <v>3220</v>
      </c>
      <c r="X226" t="s">
        <v>74</v>
      </c>
      <c r="Y226" t="s">
        <v>3221</v>
      </c>
      <c r="Z226" t="s">
        <v>3222</v>
      </c>
      <c r="AA226" t="s">
        <v>74</v>
      </c>
      <c r="AB226" t="s">
        <v>74</v>
      </c>
      <c r="AC226" t="s">
        <v>74</v>
      </c>
      <c r="AD226" t="s">
        <v>74</v>
      </c>
      <c r="AE226" t="s">
        <v>74</v>
      </c>
      <c r="AF226" t="s">
        <v>74</v>
      </c>
      <c r="AG226">
        <v>50</v>
      </c>
      <c r="AH226">
        <v>21</v>
      </c>
      <c r="AI226">
        <v>22</v>
      </c>
      <c r="AJ226">
        <v>0</v>
      </c>
      <c r="AK226">
        <v>1</v>
      </c>
      <c r="AL226" t="s">
        <v>445</v>
      </c>
      <c r="AM226" t="s">
        <v>229</v>
      </c>
      <c r="AN226" t="s">
        <v>446</v>
      </c>
      <c r="AO226" t="s">
        <v>3223</v>
      </c>
      <c r="AP226" t="s">
        <v>74</v>
      </c>
      <c r="AQ226" t="s">
        <v>74</v>
      </c>
      <c r="AR226" t="s">
        <v>3224</v>
      </c>
      <c r="AS226" t="s">
        <v>3225</v>
      </c>
      <c r="AT226" t="s">
        <v>74</v>
      </c>
      <c r="AU226">
        <v>1999</v>
      </c>
      <c r="AV226">
        <v>62</v>
      </c>
      <c r="AW226" t="s">
        <v>74</v>
      </c>
      <c r="AX226" t="s">
        <v>74</v>
      </c>
      <c r="AY226" t="s">
        <v>74</v>
      </c>
      <c r="AZ226" t="s">
        <v>74</v>
      </c>
      <c r="BA226" t="s">
        <v>74</v>
      </c>
      <c r="BB226">
        <v>11</v>
      </c>
      <c r="BC226">
        <v>19</v>
      </c>
      <c r="BD226" t="s">
        <v>74</v>
      </c>
      <c r="BE226" t="s">
        <v>3226</v>
      </c>
      <c r="BF226" t="str">
        <f>HYPERLINK("http://dx.doi.org/10.1016/S1040-6182(99)00019-1","http://dx.doi.org/10.1016/S1040-6182(99)00019-1")</f>
        <v>http://dx.doi.org/10.1016/S1040-6182(99)00019-1</v>
      </c>
      <c r="BG226" t="s">
        <v>74</v>
      </c>
      <c r="BH226" t="s">
        <v>74</v>
      </c>
      <c r="BI226">
        <v>9</v>
      </c>
      <c r="BJ226" t="s">
        <v>1044</v>
      </c>
      <c r="BK226" t="s">
        <v>95</v>
      </c>
      <c r="BL226" t="s">
        <v>936</v>
      </c>
      <c r="BM226" t="s">
        <v>3227</v>
      </c>
      <c r="BN226" t="s">
        <v>74</v>
      </c>
      <c r="BO226" t="s">
        <v>74</v>
      </c>
      <c r="BP226" t="s">
        <v>74</v>
      </c>
      <c r="BQ226" t="s">
        <v>74</v>
      </c>
      <c r="BR226" t="s">
        <v>98</v>
      </c>
      <c r="BS226" t="s">
        <v>3228</v>
      </c>
      <c r="BT226" t="str">
        <f>HYPERLINK("https%3A%2F%2Fwww.webofscience.com%2Fwos%2Fwoscc%2Ffull-record%2FWOS:000086051900003","View Full Record in Web of Science")</f>
        <v>View Full Record in Web of Science</v>
      </c>
    </row>
    <row r="227" spans="1:72" x14ac:dyDescent="0.15">
      <c r="A227" t="s">
        <v>72</v>
      </c>
      <c r="B227" t="s">
        <v>3229</v>
      </c>
      <c r="C227" t="s">
        <v>74</v>
      </c>
      <c r="D227" t="s">
        <v>74</v>
      </c>
      <c r="E227" t="s">
        <v>74</v>
      </c>
      <c r="F227" t="s">
        <v>3229</v>
      </c>
      <c r="G227" t="s">
        <v>74</v>
      </c>
      <c r="H227" t="s">
        <v>74</v>
      </c>
      <c r="I227" t="s">
        <v>3230</v>
      </c>
      <c r="J227" t="s">
        <v>3231</v>
      </c>
      <c r="K227" t="s">
        <v>74</v>
      </c>
      <c r="L227" t="s">
        <v>74</v>
      </c>
      <c r="M227" t="s">
        <v>77</v>
      </c>
      <c r="N227" t="s">
        <v>103</v>
      </c>
      <c r="O227" t="s">
        <v>74</v>
      </c>
      <c r="P227" t="s">
        <v>74</v>
      </c>
      <c r="Q227" t="s">
        <v>74</v>
      </c>
      <c r="R227" t="s">
        <v>74</v>
      </c>
      <c r="S227" t="s">
        <v>74</v>
      </c>
      <c r="T227" t="s">
        <v>74</v>
      </c>
      <c r="U227" t="s">
        <v>3232</v>
      </c>
      <c r="V227" t="s">
        <v>3233</v>
      </c>
      <c r="W227" t="s">
        <v>3234</v>
      </c>
      <c r="X227" t="s">
        <v>3235</v>
      </c>
      <c r="Y227" t="s">
        <v>3236</v>
      </c>
      <c r="Z227" t="s">
        <v>74</v>
      </c>
      <c r="AA227" t="s">
        <v>3237</v>
      </c>
      <c r="AB227" t="s">
        <v>3238</v>
      </c>
      <c r="AC227" t="s">
        <v>74</v>
      </c>
      <c r="AD227" t="s">
        <v>74</v>
      </c>
      <c r="AE227" t="s">
        <v>74</v>
      </c>
      <c r="AF227" t="s">
        <v>74</v>
      </c>
      <c r="AG227">
        <v>18</v>
      </c>
      <c r="AH227">
        <v>20</v>
      </c>
      <c r="AI227">
        <v>20</v>
      </c>
      <c r="AJ227">
        <v>0</v>
      </c>
      <c r="AK227">
        <v>5</v>
      </c>
      <c r="AL227" t="s">
        <v>445</v>
      </c>
      <c r="AM227" t="s">
        <v>229</v>
      </c>
      <c r="AN227" t="s">
        <v>446</v>
      </c>
      <c r="AO227" t="s">
        <v>3239</v>
      </c>
      <c r="AP227" t="s">
        <v>74</v>
      </c>
      <c r="AQ227" t="s">
        <v>74</v>
      </c>
      <c r="AR227" t="s">
        <v>3240</v>
      </c>
      <c r="AS227" t="s">
        <v>3241</v>
      </c>
      <c r="AT227" t="s">
        <v>74</v>
      </c>
      <c r="AU227">
        <v>1999</v>
      </c>
      <c r="AV227">
        <v>18</v>
      </c>
      <c r="AW227">
        <v>13</v>
      </c>
      <c r="AX227" t="s">
        <v>74</v>
      </c>
      <c r="AY227" t="s">
        <v>74</v>
      </c>
      <c r="AZ227" t="s">
        <v>74</v>
      </c>
      <c r="BA227" t="s">
        <v>74</v>
      </c>
      <c r="BB227">
        <v>1445</v>
      </c>
      <c r="BC227">
        <v>1451</v>
      </c>
      <c r="BD227" t="s">
        <v>74</v>
      </c>
      <c r="BE227" t="s">
        <v>3242</v>
      </c>
      <c r="BF227" t="str">
        <f>HYPERLINK("http://dx.doi.org/10.1016/S0277-3791(99)00042-6","http://dx.doi.org/10.1016/S0277-3791(99)00042-6")</f>
        <v>http://dx.doi.org/10.1016/S0277-3791(99)00042-6</v>
      </c>
      <c r="BG227" t="s">
        <v>74</v>
      </c>
      <c r="BH227" t="s">
        <v>74</v>
      </c>
      <c r="BI227">
        <v>7</v>
      </c>
      <c r="BJ227" t="s">
        <v>1044</v>
      </c>
      <c r="BK227" t="s">
        <v>95</v>
      </c>
      <c r="BL227" t="s">
        <v>936</v>
      </c>
      <c r="BM227" t="s">
        <v>3243</v>
      </c>
      <c r="BN227" t="s">
        <v>74</v>
      </c>
      <c r="BO227" t="s">
        <v>74</v>
      </c>
      <c r="BP227" t="s">
        <v>74</v>
      </c>
      <c r="BQ227" t="s">
        <v>74</v>
      </c>
      <c r="BR227" t="s">
        <v>98</v>
      </c>
      <c r="BS227" t="s">
        <v>3244</v>
      </c>
      <c r="BT227" t="str">
        <f>HYPERLINK("https%3A%2F%2Fwww.webofscience.com%2Fwos%2Fwoscc%2Ffull-record%2FWOS:000084166200001","View Full Record in Web of Science")</f>
        <v>View Full Record in Web of Science</v>
      </c>
    </row>
    <row r="228" spans="1:72" x14ac:dyDescent="0.15">
      <c r="A228" t="s">
        <v>72</v>
      </c>
      <c r="B228" t="s">
        <v>3245</v>
      </c>
      <c r="C228" t="s">
        <v>74</v>
      </c>
      <c r="D228" t="s">
        <v>74</v>
      </c>
      <c r="E228" t="s">
        <v>74</v>
      </c>
      <c r="F228" t="s">
        <v>3245</v>
      </c>
      <c r="G228" t="s">
        <v>74</v>
      </c>
      <c r="H228" t="s">
        <v>74</v>
      </c>
      <c r="I228" t="s">
        <v>3246</v>
      </c>
      <c r="J228" t="s">
        <v>3231</v>
      </c>
      <c r="K228" t="s">
        <v>74</v>
      </c>
      <c r="L228" t="s">
        <v>74</v>
      </c>
      <c r="M228" t="s">
        <v>77</v>
      </c>
      <c r="N228" t="s">
        <v>78</v>
      </c>
      <c r="O228" t="s">
        <v>74</v>
      </c>
      <c r="P228" t="s">
        <v>74</v>
      </c>
      <c r="Q228" t="s">
        <v>74</v>
      </c>
      <c r="R228" t="s">
        <v>74</v>
      </c>
      <c r="S228" t="s">
        <v>74</v>
      </c>
      <c r="T228" t="s">
        <v>74</v>
      </c>
      <c r="U228" t="s">
        <v>3247</v>
      </c>
      <c r="V228" t="s">
        <v>3248</v>
      </c>
      <c r="W228" t="s">
        <v>3249</v>
      </c>
      <c r="X228" t="s">
        <v>3250</v>
      </c>
      <c r="Y228" t="s">
        <v>3251</v>
      </c>
      <c r="Z228" t="s">
        <v>3252</v>
      </c>
      <c r="AA228" t="s">
        <v>3253</v>
      </c>
      <c r="AB228" t="s">
        <v>3254</v>
      </c>
      <c r="AC228" t="s">
        <v>74</v>
      </c>
      <c r="AD228" t="s">
        <v>74</v>
      </c>
      <c r="AE228" t="s">
        <v>74</v>
      </c>
      <c r="AF228" t="s">
        <v>74</v>
      </c>
      <c r="AG228">
        <v>106</v>
      </c>
      <c r="AH228">
        <v>84</v>
      </c>
      <c r="AI228">
        <v>91</v>
      </c>
      <c r="AJ228">
        <v>0</v>
      </c>
      <c r="AK228">
        <v>33</v>
      </c>
      <c r="AL228" t="s">
        <v>445</v>
      </c>
      <c r="AM228" t="s">
        <v>229</v>
      </c>
      <c r="AN228" t="s">
        <v>446</v>
      </c>
      <c r="AO228" t="s">
        <v>3239</v>
      </c>
      <c r="AP228" t="s">
        <v>74</v>
      </c>
      <c r="AQ228" t="s">
        <v>74</v>
      </c>
      <c r="AR228" t="s">
        <v>3240</v>
      </c>
      <c r="AS228" t="s">
        <v>3241</v>
      </c>
      <c r="AT228" t="s">
        <v>74</v>
      </c>
      <c r="AU228">
        <v>1999</v>
      </c>
      <c r="AV228">
        <v>18</v>
      </c>
      <c r="AW228">
        <v>14</v>
      </c>
      <c r="AX228" t="s">
        <v>74</v>
      </c>
      <c r="AY228" t="s">
        <v>74</v>
      </c>
      <c r="AZ228" t="s">
        <v>74</v>
      </c>
      <c r="BA228" t="s">
        <v>74</v>
      </c>
      <c r="BB228">
        <v>1569</v>
      </c>
      <c r="BC228">
        <v>1595</v>
      </c>
      <c r="BD228" t="s">
        <v>74</v>
      </c>
      <c r="BE228" t="s">
        <v>3255</v>
      </c>
      <c r="BF228" t="str">
        <f>HYPERLINK("http://dx.doi.org/10.1016/S0277-3791(98)00118-8","http://dx.doi.org/10.1016/S0277-3791(98)00118-8")</f>
        <v>http://dx.doi.org/10.1016/S0277-3791(98)00118-8</v>
      </c>
      <c r="BG228" t="s">
        <v>74</v>
      </c>
      <c r="BH228" t="s">
        <v>74</v>
      </c>
      <c r="BI228">
        <v>27</v>
      </c>
      <c r="BJ228" t="s">
        <v>1044</v>
      </c>
      <c r="BK228" t="s">
        <v>95</v>
      </c>
      <c r="BL228" t="s">
        <v>936</v>
      </c>
      <c r="BM228" t="s">
        <v>3256</v>
      </c>
      <c r="BN228" t="s">
        <v>74</v>
      </c>
      <c r="BO228" t="s">
        <v>74</v>
      </c>
      <c r="BP228" t="s">
        <v>74</v>
      </c>
      <c r="BQ228" t="s">
        <v>74</v>
      </c>
      <c r="BR228" t="s">
        <v>98</v>
      </c>
      <c r="BS228" t="s">
        <v>3257</v>
      </c>
      <c r="BT228" t="str">
        <f>HYPERLINK("https%3A%2F%2Fwww.webofscience.com%2Fwos%2Fwoscc%2Ffull-record%2FWOS:000084266600003","View Full Record in Web of Science")</f>
        <v>View Full Record in Web of Science</v>
      </c>
    </row>
    <row r="229" spans="1:72" x14ac:dyDescent="0.15">
      <c r="A229" t="s">
        <v>72</v>
      </c>
      <c r="B229" t="s">
        <v>3258</v>
      </c>
      <c r="C229" t="s">
        <v>74</v>
      </c>
      <c r="D229" t="s">
        <v>74</v>
      </c>
      <c r="E229" t="s">
        <v>74</v>
      </c>
      <c r="F229" t="s">
        <v>3258</v>
      </c>
      <c r="G229" t="s">
        <v>74</v>
      </c>
      <c r="H229" t="s">
        <v>74</v>
      </c>
      <c r="I229" t="s">
        <v>3259</v>
      </c>
      <c r="J229" t="s">
        <v>3260</v>
      </c>
      <c r="K229" t="s">
        <v>74</v>
      </c>
      <c r="L229" t="s">
        <v>74</v>
      </c>
      <c r="M229" t="s">
        <v>77</v>
      </c>
      <c r="N229" t="s">
        <v>103</v>
      </c>
      <c r="O229" t="s">
        <v>74</v>
      </c>
      <c r="P229" t="s">
        <v>74</v>
      </c>
      <c r="Q229" t="s">
        <v>74</v>
      </c>
      <c r="R229" t="s">
        <v>74</v>
      </c>
      <c r="S229" t="s">
        <v>74</v>
      </c>
      <c r="T229" t="s">
        <v>74</v>
      </c>
      <c r="U229" t="s">
        <v>3261</v>
      </c>
      <c r="V229" t="s">
        <v>3262</v>
      </c>
      <c r="W229" t="s">
        <v>3263</v>
      </c>
      <c r="X229" t="s">
        <v>3264</v>
      </c>
      <c r="Y229" t="s">
        <v>3265</v>
      </c>
      <c r="Z229" t="s">
        <v>74</v>
      </c>
      <c r="AA229" t="s">
        <v>3266</v>
      </c>
      <c r="AB229" t="s">
        <v>3267</v>
      </c>
      <c r="AC229" t="s">
        <v>74</v>
      </c>
      <c r="AD229" t="s">
        <v>74</v>
      </c>
      <c r="AE229" t="s">
        <v>74</v>
      </c>
      <c r="AF229" t="s">
        <v>74</v>
      </c>
      <c r="AG229">
        <v>44</v>
      </c>
      <c r="AH229">
        <v>16</v>
      </c>
      <c r="AI229">
        <v>17</v>
      </c>
      <c r="AJ229">
        <v>0</v>
      </c>
      <c r="AK229">
        <v>10</v>
      </c>
      <c r="AL229" t="s">
        <v>3268</v>
      </c>
      <c r="AM229" t="s">
        <v>3269</v>
      </c>
      <c r="AN229" t="s">
        <v>3270</v>
      </c>
      <c r="AO229" t="s">
        <v>3271</v>
      </c>
      <c r="AP229" t="s">
        <v>74</v>
      </c>
      <c r="AQ229" t="s">
        <v>74</v>
      </c>
      <c r="AR229" t="s">
        <v>3260</v>
      </c>
      <c r="AS229" t="s">
        <v>3272</v>
      </c>
      <c r="AT229" t="s">
        <v>74</v>
      </c>
      <c r="AU229">
        <v>1999</v>
      </c>
      <c r="AV229">
        <v>41</v>
      </c>
      <c r="AW229">
        <v>1</v>
      </c>
      <c r="AX229" t="s">
        <v>74</v>
      </c>
      <c r="AY229" t="s">
        <v>74</v>
      </c>
      <c r="AZ229" t="s">
        <v>74</v>
      </c>
      <c r="BA229" t="s">
        <v>74</v>
      </c>
      <c r="BB229">
        <v>51</v>
      </c>
      <c r="BC229">
        <v>73</v>
      </c>
      <c r="BD229" t="s">
        <v>74</v>
      </c>
      <c r="BE229" t="s">
        <v>3273</v>
      </c>
      <c r="BF229" t="str">
        <f>HYPERLINK("http://dx.doi.org/10.1017/S0033822200019330","http://dx.doi.org/10.1017/S0033822200019330")</f>
        <v>http://dx.doi.org/10.1017/S0033822200019330</v>
      </c>
      <c r="BG229" t="s">
        <v>74</v>
      </c>
      <c r="BH229" t="s">
        <v>74</v>
      </c>
      <c r="BI229">
        <v>23</v>
      </c>
      <c r="BJ229" t="s">
        <v>303</v>
      </c>
      <c r="BK229" t="s">
        <v>95</v>
      </c>
      <c r="BL229" t="s">
        <v>303</v>
      </c>
      <c r="BM229" t="s">
        <v>3274</v>
      </c>
      <c r="BN229" t="s">
        <v>74</v>
      </c>
      <c r="BO229" t="s">
        <v>2091</v>
      </c>
      <c r="BP229" t="s">
        <v>74</v>
      </c>
      <c r="BQ229" t="s">
        <v>74</v>
      </c>
      <c r="BR229" t="s">
        <v>98</v>
      </c>
      <c r="BS229" t="s">
        <v>3275</v>
      </c>
      <c r="BT229" t="str">
        <f>HYPERLINK("https%3A%2F%2Fwww.webofscience.com%2Fwos%2Fwoscc%2Ffull-record%2FWOS:000080049000006","View Full Record in Web of Science")</f>
        <v>View Full Record in Web of Science</v>
      </c>
    </row>
    <row r="230" spans="1:72" x14ac:dyDescent="0.15">
      <c r="A230" t="s">
        <v>72</v>
      </c>
      <c r="B230" t="s">
        <v>3276</v>
      </c>
      <c r="C230" t="s">
        <v>74</v>
      </c>
      <c r="D230" t="s">
        <v>74</v>
      </c>
      <c r="E230" t="s">
        <v>74</v>
      </c>
      <c r="F230" t="s">
        <v>3276</v>
      </c>
      <c r="G230" t="s">
        <v>74</v>
      </c>
      <c r="H230" t="s">
        <v>74</v>
      </c>
      <c r="I230" t="s">
        <v>3277</v>
      </c>
      <c r="J230" t="s">
        <v>3278</v>
      </c>
      <c r="K230" t="s">
        <v>74</v>
      </c>
      <c r="L230" t="s">
        <v>74</v>
      </c>
      <c r="M230" t="s">
        <v>77</v>
      </c>
      <c r="N230" t="s">
        <v>103</v>
      </c>
      <c r="O230" t="s">
        <v>74</v>
      </c>
      <c r="P230" t="s">
        <v>74</v>
      </c>
      <c r="Q230" t="s">
        <v>74</v>
      </c>
      <c r="R230" t="s">
        <v>74</v>
      </c>
      <c r="S230" t="s">
        <v>74</v>
      </c>
      <c r="T230" t="s">
        <v>74</v>
      </c>
      <c r="U230" t="s">
        <v>74</v>
      </c>
      <c r="V230" t="s">
        <v>3279</v>
      </c>
      <c r="W230" t="s">
        <v>3280</v>
      </c>
      <c r="X230" t="s">
        <v>3281</v>
      </c>
      <c r="Y230" t="s">
        <v>3282</v>
      </c>
      <c r="Z230" t="s">
        <v>1200</v>
      </c>
      <c r="AA230" t="s">
        <v>74</v>
      </c>
      <c r="AB230" t="s">
        <v>74</v>
      </c>
      <c r="AC230" t="s">
        <v>74</v>
      </c>
      <c r="AD230" t="s">
        <v>74</v>
      </c>
      <c r="AE230" t="s">
        <v>74</v>
      </c>
      <c r="AF230" t="s">
        <v>74</v>
      </c>
      <c r="AG230">
        <v>18</v>
      </c>
      <c r="AH230">
        <v>37</v>
      </c>
      <c r="AI230">
        <v>41</v>
      </c>
      <c r="AJ230">
        <v>0</v>
      </c>
      <c r="AK230">
        <v>7</v>
      </c>
      <c r="AL230" t="s">
        <v>655</v>
      </c>
      <c r="AM230" t="s">
        <v>656</v>
      </c>
      <c r="AN230" t="s">
        <v>657</v>
      </c>
      <c r="AO230" t="s">
        <v>3283</v>
      </c>
      <c r="AP230" t="s">
        <v>3284</v>
      </c>
      <c r="AQ230" t="s">
        <v>74</v>
      </c>
      <c r="AR230" t="s">
        <v>3285</v>
      </c>
      <c r="AS230" t="s">
        <v>3286</v>
      </c>
      <c r="AT230" t="s">
        <v>74</v>
      </c>
      <c r="AU230">
        <v>1999</v>
      </c>
      <c r="AV230">
        <v>13</v>
      </c>
      <c r="AW230">
        <v>21</v>
      </c>
      <c r="AX230" t="s">
        <v>74</v>
      </c>
      <c r="AY230" t="s">
        <v>74</v>
      </c>
      <c r="AZ230" t="s">
        <v>74</v>
      </c>
      <c r="BA230" t="s">
        <v>74</v>
      </c>
      <c r="BB230">
        <v>2118</v>
      </c>
      <c r="BC230">
        <v>2124</v>
      </c>
      <c r="BD230" t="s">
        <v>74</v>
      </c>
      <c r="BE230" t="s">
        <v>3287</v>
      </c>
      <c r="BF230" t="str">
        <f>HYPERLINK("http://dx.doi.org/10.1002/(SICI)1097-0231(19991115)13:21&lt;2118::AID-RCM762&gt;3.3.CO;2-3","http://dx.doi.org/10.1002/(SICI)1097-0231(19991115)13:21&lt;2118::AID-RCM762&gt;3.3.CO;2-3")</f>
        <v>http://dx.doi.org/10.1002/(SICI)1097-0231(19991115)13:21&lt;2118::AID-RCM762&gt;3.3.CO;2-3</v>
      </c>
      <c r="BG230" t="s">
        <v>74</v>
      </c>
      <c r="BH230" t="s">
        <v>74</v>
      </c>
      <c r="BI230">
        <v>7</v>
      </c>
      <c r="BJ230" t="s">
        <v>3288</v>
      </c>
      <c r="BK230" t="s">
        <v>95</v>
      </c>
      <c r="BL230" t="s">
        <v>3289</v>
      </c>
      <c r="BM230" t="s">
        <v>3290</v>
      </c>
      <c r="BN230">
        <v>10523769</v>
      </c>
      <c r="BO230" t="s">
        <v>74</v>
      </c>
      <c r="BP230" t="s">
        <v>74</v>
      </c>
      <c r="BQ230" t="s">
        <v>74</v>
      </c>
      <c r="BR230" t="s">
        <v>98</v>
      </c>
      <c r="BS230" t="s">
        <v>3291</v>
      </c>
      <c r="BT230" t="str">
        <f>HYPERLINK("https%3A%2F%2Fwww.webofscience.com%2Fwos%2Fwoscc%2Ffull-record%2FWOS:000083481000008","View Full Record in Web of Science")</f>
        <v>View Full Record in Web of Science</v>
      </c>
    </row>
    <row r="231" spans="1:72" x14ac:dyDescent="0.15">
      <c r="A231" t="s">
        <v>147</v>
      </c>
      <c r="B231" t="s">
        <v>3292</v>
      </c>
      <c r="C231" t="s">
        <v>74</v>
      </c>
      <c r="D231" t="s">
        <v>3293</v>
      </c>
      <c r="E231" t="s">
        <v>74</v>
      </c>
      <c r="F231" t="s">
        <v>3292</v>
      </c>
      <c r="G231" t="s">
        <v>74</v>
      </c>
      <c r="H231" t="s">
        <v>74</v>
      </c>
      <c r="I231" t="s">
        <v>3294</v>
      </c>
      <c r="J231" t="s">
        <v>3295</v>
      </c>
      <c r="K231" t="s">
        <v>74</v>
      </c>
      <c r="L231" t="s">
        <v>74</v>
      </c>
      <c r="M231" t="s">
        <v>77</v>
      </c>
      <c r="N231" t="s">
        <v>153</v>
      </c>
      <c r="O231" t="s">
        <v>3296</v>
      </c>
      <c r="P231" t="s">
        <v>3297</v>
      </c>
      <c r="Q231" t="s">
        <v>424</v>
      </c>
      <c r="R231" t="s">
        <v>74</v>
      </c>
      <c r="S231" t="s">
        <v>74</v>
      </c>
      <c r="T231" t="s">
        <v>74</v>
      </c>
      <c r="U231" t="s">
        <v>3298</v>
      </c>
      <c r="V231" t="s">
        <v>3299</v>
      </c>
      <c r="W231" t="s">
        <v>3300</v>
      </c>
      <c r="X231" t="s">
        <v>3301</v>
      </c>
      <c r="Y231" t="s">
        <v>3302</v>
      </c>
      <c r="Z231" t="s">
        <v>74</v>
      </c>
      <c r="AA231" t="s">
        <v>3303</v>
      </c>
      <c r="AB231" t="s">
        <v>3304</v>
      </c>
      <c r="AC231" t="s">
        <v>74</v>
      </c>
      <c r="AD231" t="s">
        <v>74</v>
      </c>
      <c r="AE231" t="s">
        <v>74</v>
      </c>
      <c r="AF231" t="s">
        <v>74</v>
      </c>
      <c r="AG231">
        <v>71</v>
      </c>
      <c r="AH231">
        <v>1</v>
      </c>
      <c r="AI231">
        <v>1</v>
      </c>
      <c r="AJ231">
        <v>0</v>
      </c>
      <c r="AK231">
        <v>11</v>
      </c>
      <c r="AL231" t="s">
        <v>2315</v>
      </c>
      <c r="AM231" t="s">
        <v>278</v>
      </c>
      <c r="AN231" t="s">
        <v>806</v>
      </c>
      <c r="AO231" t="s">
        <v>74</v>
      </c>
      <c r="AP231" t="s">
        <v>74</v>
      </c>
      <c r="AQ231" t="s">
        <v>3305</v>
      </c>
      <c r="AR231" t="s">
        <v>74</v>
      </c>
      <c r="AS231" t="s">
        <v>74</v>
      </c>
      <c r="AT231" t="s">
        <v>74</v>
      </c>
      <c r="AU231">
        <v>1999</v>
      </c>
      <c r="AV231" t="s">
        <v>74</v>
      </c>
      <c r="AW231" t="s">
        <v>74</v>
      </c>
      <c r="AX231" t="s">
        <v>74</v>
      </c>
      <c r="AY231" t="s">
        <v>74</v>
      </c>
      <c r="AZ231" t="s">
        <v>74</v>
      </c>
      <c r="BA231" t="s">
        <v>74</v>
      </c>
      <c r="BB231">
        <v>121</v>
      </c>
      <c r="BC231">
        <v>138</v>
      </c>
      <c r="BD231" t="s">
        <v>74</v>
      </c>
      <c r="BE231" t="s">
        <v>74</v>
      </c>
      <c r="BF231" t="s">
        <v>74</v>
      </c>
      <c r="BG231" t="s">
        <v>74</v>
      </c>
      <c r="BH231" t="s">
        <v>74</v>
      </c>
      <c r="BI231">
        <v>18</v>
      </c>
      <c r="BJ231" t="s">
        <v>3306</v>
      </c>
      <c r="BK231" t="s">
        <v>171</v>
      </c>
      <c r="BL231" t="s">
        <v>3306</v>
      </c>
      <c r="BM231" t="s">
        <v>3307</v>
      </c>
      <c r="BN231" t="s">
        <v>74</v>
      </c>
      <c r="BO231" t="s">
        <v>74</v>
      </c>
      <c r="BP231" t="s">
        <v>74</v>
      </c>
      <c r="BQ231" t="s">
        <v>74</v>
      </c>
      <c r="BR231" t="s">
        <v>98</v>
      </c>
      <c r="BS231" t="s">
        <v>3308</v>
      </c>
      <c r="BT231" t="str">
        <f>HYPERLINK("https%3A%2F%2Fwww.webofscience.com%2Fwos%2Fwoscc%2Ffull-record%2FWOS:000086138200008","View Full Record in Web of Science")</f>
        <v>View Full Record in Web of Science</v>
      </c>
    </row>
    <row r="232" spans="1:72" x14ac:dyDescent="0.15">
      <c r="A232" t="s">
        <v>147</v>
      </c>
      <c r="B232" t="s">
        <v>3309</v>
      </c>
      <c r="C232" t="s">
        <v>74</v>
      </c>
      <c r="D232" t="s">
        <v>3293</v>
      </c>
      <c r="E232" t="s">
        <v>74</v>
      </c>
      <c r="F232" t="s">
        <v>3309</v>
      </c>
      <c r="G232" t="s">
        <v>74</v>
      </c>
      <c r="H232" t="s">
        <v>74</v>
      </c>
      <c r="I232" t="s">
        <v>3310</v>
      </c>
      <c r="J232" t="s">
        <v>3295</v>
      </c>
      <c r="K232" t="s">
        <v>74</v>
      </c>
      <c r="L232" t="s">
        <v>74</v>
      </c>
      <c r="M232" t="s">
        <v>77</v>
      </c>
      <c r="N232" t="s">
        <v>153</v>
      </c>
      <c r="O232" t="s">
        <v>3296</v>
      </c>
      <c r="P232" t="s">
        <v>3297</v>
      </c>
      <c r="Q232" t="s">
        <v>424</v>
      </c>
      <c r="R232" t="s">
        <v>74</v>
      </c>
      <c r="S232" t="s">
        <v>74</v>
      </c>
      <c r="T232" t="s">
        <v>74</v>
      </c>
      <c r="U232" t="s">
        <v>3311</v>
      </c>
      <c r="V232" t="s">
        <v>3312</v>
      </c>
      <c r="W232" t="s">
        <v>3313</v>
      </c>
      <c r="X232" t="s">
        <v>1500</v>
      </c>
      <c r="Y232" t="s">
        <v>3314</v>
      </c>
      <c r="Z232" t="s">
        <v>74</v>
      </c>
      <c r="AA232" t="s">
        <v>74</v>
      </c>
      <c r="AB232" t="s">
        <v>74</v>
      </c>
      <c r="AC232" t="s">
        <v>74</v>
      </c>
      <c r="AD232" t="s">
        <v>74</v>
      </c>
      <c r="AE232" t="s">
        <v>74</v>
      </c>
      <c r="AF232" t="s">
        <v>74</v>
      </c>
      <c r="AG232">
        <v>47</v>
      </c>
      <c r="AH232">
        <v>1</v>
      </c>
      <c r="AI232">
        <v>1</v>
      </c>
      <c r="AJ232">
        <v>0</v>
      </c>
      <c r="AK232">
        <v>6</v>
      </c>
      <c r="AL232" t="s">
        <v>2315</v>
      </c>
      <c r="AM232" t="s">
        <v>278</v>
      </c>
      <c r="AN232" t="s">
        <v>806</v>
      </c>
      <c r="AO232" t="s">
        <v>74</v>
      </c>
      <c r="AP232" t="s">
        <v>74</v>
      </c>
      <c r="AQ232" t="s">
        <v>3305</v>
      </c>
      <c r="AR232" t="s">
        <v>74</v>
      </c>
      <c r="AS232" t="s">
        <v>74</v>
      </c>
      <c r="AT232" t="s">
        <v>74</v>
      </c>
      <c r="AU232">
        <v>1999</v>
      </c>
      <c r="AV232" t="s">
        <v>74</v>
      </c>
      <c r="AW232" t="s">
        <v>74</v>
      </c>
      <c r="AX232" t="s">
        <v>74</v>
      </c>
      <c r="AY232" t="s">
        <v>74</v>
      </c>
      <c r="AZ232" t="s">
        <v>74</v>
      </c>
      <c r="BA232" t="s">
        <v>74</v>
      </c>
      <c r="BB232">
        <v>151</v>
      </c>
      <c r="BC232">
        <v>162</v>
      </c>
      <c r="BD232" t="s">
        <v>74</v>
      </c>
      <c r="BE232" t="s">
        <v>74</v>
      </c>
      <c r="BF232" t="s">
        <v>74</v>
      </c>
      <c r="BG232" t="s">
        <v>74</v>
      </c>
      <c r="BH232" t="s">
        <v>74</v>
      </c>
      <c r="BI232">
        <v>12</v>
      </c>
      <c r="BJ232" t="s">
        <v>3306</v>
      </c>
      <c r="BK232" t="s">
        <v>171</v>
      </c>
      <c r="BL232" t="s">
        <v>3306</v>
      </c>
      <c r="BM232" t="s">
        <v>3307</v>
      </c>
      <c r="BN232" t="s">
        <v>74</v>
      </c>
      <c r="BO232" t="s">
        <v>74</v>
      </c>
      <c r="BP232" t="s">
        <v>74</v>
      </c>
      <c r="BQ232" t="s">
        <v>74</v>
      </c>
      <c r="BR232" t="s">
        <v>98</v>
      </c>
      <c r="BS232" t="s">
        <v>3315</v>
      </c>
      <c r="BT232" t="str">
        <f>HYPERLINK("https%3A%2F%2Fwww.webofscience.com%2Fwos%2Fwoscc%2Ffull-record%2FWOS:000086138200010","View Full Record in Web of Science")</f>
        <v>View Full Record in Web of Science</v>
      </c>
    </row>
    <row r="233" spans="1:72" x14ac:dyDescent="0.15">
      <c r="A233" t="s">
        <v>215</v>
      </c>
      <c r="B233" t="s">
        <v>3316</v>
      </c>
      <c r="C233" t="s">
        <v>74</v>
      </c>
      <c r="D233" t="s">
        <v>3317</v>
      </c>
      <c r="E233" t="s">
        <v>74</v>
      </c>
      <c r="F233" t="s">
        <v>3316</v>
      </c>
      <c r="G233" t="s">
        <v>74</v>
      </c>
      <c r="H233" t="s">
        <v>74</v>
      </c>
      <c r="I233" t="s">
        <v>3318</v>
      </c>
      <c r="J233" t="s">
        <v>3319</v>
      </c>
      <c r="K233" t="s">
        <v>220</v>
      </c>
      <c r="L233" t="s">
        <v>74</v>
      </c>
      <c r="M233" t="s">
        <v>77</v>
      </c>
      <c r="N233" t="s">
        <v>123</v>
      </c>
      <c r="O233" t="s">
        <v>3320</v>
      </c>
      <c r="P233" t="s">
        <v>3321</v>
      </c>
      <c r="Q233" t="s">
        <v>3322</v>
      </c>
      <c r="R233" t="s">
        <v>74</v>
      </c>
      <c r="S233" t="s">
        <v>74</v>
      </c>
      <c r="T233" t="s">
        <v>74</v>
      </c>
      <c r="U233" t="s">
        <v>3323</v>
      </c>
      <c r="V233" t="s">
        <v>3324</v>
      </c>
      <c r="W233" t="s">
        <v>3325</v>
      </c>
      <c r="X233" t="s">
        <v>3326</v>
      </c>
      <c r="Y233" t="s">
        <v>3327</v>
      </c>
      <c r="Z233" t="s">
        <v>74</v>
      </c>
      <c r="AA233" t="s">
        <v>74</v>
      </c>
      <c r="AB233" t="s">
        <v>74</v>
      </c>
      <c r="AC233" t="s">
        <v>74</v>
      </c>
      <c r="AD233" t="s">
        <v>74</v>
      </c>
      <c r="AE233" t="s">
        <v>74</v>
      </c>
      <c r="AF233" t="s">
        <v>74</v>
      </c>
      <c r="AG233">
        <v>13</v>
      </c>
      <c r="AH233">
        <v>0</v>
      </c>
      <c r="AI233">
        <v>0</v>
      </c>
      <c r="AJ233">
        <v>0</v>
      </c>
      <c r="AK233">
        <v>1</v>
      </c>
      <c r="AL233" t="s">
        <v>228</v>
      </c>
      <c r="AM233" t="s">
        <v>229</v>
      </c>
      <c r="AN233" t="s">
        <v>230</v>
      </c>
      <c r="AO233" t="s">
        <v>231</v>
      </c>
      <c r="AP233" t="s">
        <v>74</v>
      </c>
      <c r="AQ233" t="s">
        <v>3328</v>
      </c>
      <c r="AR233" t="s">
        <v>232</v>
      </c>
      <c r="AS233" t="s">
        <v>74</v>
      </c>
      <c r="AT233" t="s">
        <v>74</v>
      </c>
      <c r="AU233">
        <v>1999</v>
      </c>
      <c r="AV233">
        <v>22</v>
      </c>
      <c r="AW233">
        <v>11</v>
      </c>
      <c r="AX233" t="s">
        <v>74</v>
      </c>
      <c r="AY233" t="s">
        <v>74</v>
      </c>
      <c r="AZ233" t="s">
        <v>74</v>
      </c>
      <c r="BA233" t="s">
        <v>74</v>
      </c>
      <c r="BB233">
        <v>1529</v>
      </c>
      <c r="BC233">
        <v>1532</v>
      </c>
      <c r="BD233" t="s">
        <v>74</v>
      </c>
      <c r="BE233" t="s">
        <v>74</v>
      </c>
      <c r="BF233" t="s">
        <v>74</v>
      </c>
      <c r="BG233" t="s">
        <v>74</v>
      </c>
      <c r="BH233" t="s">
        <v>74</v>
      </c>
      <c r="BI233">
        <v>4</v>
      </c>
      <c r="BJ233" t="s">
        <v>1244</v>
      </c>
      <c r="BK233" t="s">
        <v>235</v>
      </c>
      <c r="BL233" t="s">
        <v>1245</v>
      </c>
      <c r="BM233" t="s">
        <v>3329</v>
      </c>
      <c r="BN233" t="s">
        <v>74</v>
      </c>
      <c r="BO233" t="s">
        <v>74</v>
      </c>
      <c r="BP233" t="s">
        <v>74</v>
      </c>
      <c r="BQ233" t="s">
        <v>74</v>
      </c>
      <c r="BR233" t="s">
        <v>98</v>
      </c>
      <c r="BS233" t="s">
        <v>3330</v>
      </c>
      <c r="BT233" t="str">
        <f>HYPERLINK("https%3A%2F%2Fwww.webofscience.com%2Fwos%2Fwoscc%2Ffull-record%2FWOS:000080096000012","View Full Record in Web of Science")</f>
        <v>View Full Record in Web of Science</v>
      </c>
    </row>
    <row r="234" spans="1:72" x14ac:dyDescent="0.15">
      <c r="A234" t="s">
        <v>215</v>
      </c>
      <c r="B234" t="s">
        <v>3331</v>
      </c>
      <c r="C234" t="s">
        <v>74</v>
      </c>
      <c r="D234" t="s">
        <v>3317</v>
      </c>
      <c r="E234" t="s">
        <v>74</v>
      </c>
      <c r="F234" t="s">
        <v>3331</v>
      </c>
      <c r="G234" t="s">
        <v>74</v>
      </c>
      <c r="H234" t="s">
        <v>74</v>
      </c>
      <c r="I234" t="s">
        <v>3332</v>
      </c>
      <c r="J234" t="s">
        <v>3319</v>
      </c>
      <c r="K234" t="s">
        <v>220</v>
      </c>
      <c r="L234" t="s">
        <v>74</v>
      </c>
      <c r="M234" t="s">
        <v>77</v>
      </c>
      <c r="N234" t="s">
        <v>123</v>
      </c>
      <c r="O234" t="s">
        <v>3320</v>
      </c>
      <c r="P234" t="s">
        <v>3321</v>
      </c>
      <c r="Q234" t="s">
        <v>3322</v>
      </c>
      <c r="R234" t="s">
        <v>74</v>
      </c>
      <c r="S234" t="s">
        <v>74</v>
      </c>
      <c r="T234" t="s">
        <v>74</v>
      </c>
      <c r="U234" t="s">
        <v>2571</v>
      </c>
      <c r="V234" t="s">
        <v>3333</v>
      </c>
      <c r="W234" t="s">
        <v>3334</v>
      </c>
      <c r="X234" t="s">
        <v>3335</v>
      </c>
      <c r="Y234" t="s">
        <v>3336</v>
      </c>
      <c r="Z234" t="s">
        <v>74</v>
      </c>
      <c r="AA234" t="s">
        <v>3337</v>
      </c>
      <c r="AB234" t="s">
        <v>3338</v>
      </c>
      <c r="AC234" t="s">
        <v>74</v>
      </c>
      <c r="AD234" t="s">
        <v>74</v>
      </c>
      <c r="AE234" t="s">
        <v>74</v>
      </c>
      <c r="AF234" t="s">
        <v>74</v>
      </c>
      <c r="AG234">
        <v>5</v>
      </c>
      <c r="AH234">
        <v>1</v>
      </c>
      <c r="AI234">
        <v>1</v>
      </c>
      <c r="AJ234">
        <v>0</v>
      </c>
      <c r="AK234">
        <v>0</v>
      </c>
      <c r="AL234" t="s">
        <v>228</v>
      </c>
      <c r="AM234" t="s">
        <v>229</v>
      </c>
      <c r="AN234" t="s">
        <v>230</v>
      </c>
      <c r="AO234" t="s">
        <v>231</v>
      </c>
      <c r="AP234" t="s">
        <v>74</v>
      </c>
      <c r="AQ234" t="s">
        <v>3328</v>
      </c>
      <c r="AR234" t="s">
        <v>232</v>
      </c>
      <c r="AS234" t="s">
        <v>74</v>
      </c>
      <c r="AT234" t="s">
        <v>74</v>
      </c>
      <c r="AU234">
        <v>1999</v>
      </c>
      <c r="AV234">
        <v>22</v>
      </c>
      <c r="AW234">
        <v>11</v>
      </c>
      <c r="AX234" t="s">
        <v>74</v>
      </c>
      <c r="AY234" t="s">
        <v>74</v>
      </c>
      <c r="AZ234" t="s">
        <v>74</v>
      </c>
      <c r="BA234" t="s">
        <v>74</v>
      </c>
      <c r="BB234">
        <v>1549</v>
      </c>
      <c r="BC234">
        <v>1552</v>
      </c>
      <c r="BD234" t="s">
        <v>74</v>
      </c>
      <c r="BE234" t="s">
        <v>74</v>
      </c>
      <c r="BF234" t="s">
        <v>74</v>
      </c>
      <c r="BG234" t="s">
        <v>74</v>
      </c>
      <c r="BH234" t="s">
        <v>74</v>
      </c>
      <c r="BI234">
        <v>4</v>
      </c>
      <c r="BJ234" t="s">
        <v>1244</v>
      </c>
      <c r="BK234" t="s">
        <v>235</v>
      </c>
      <c r="BL234" t="s">
        <v>1245</v>
      </c>
      <c r="BM234" t="s">
        <v>3329</v>
      </c>
      <c r="BN234" t="s">
        <v>74</v>
      </c>
      <c r="BO234" t="s">
        <v>74</v>
      </c>
      <c r="BP234" t="s">
        <v>74</v>
      </c>
      <c r="BQ234" t="s">
        <v>74</v>
      </c>
      <c r="BR234" t="s">
        <v>98</v>
      </c>
      <c r="BS234" t="s">
        <v>3339</v>
      </c>
      <c r="BT234" t="str">
        <f>HYPERLINK("https%3A%2F%2Fwww.webofscience.com%2Fwos%2Fwoscc%2Ffull-record%2FWOS:000080096000015","View Full Record in Web of Science")</f>
        <v>View Full Record in Web of Science</v>
      </c>
    </row>
    <row r="235" spans="1:72" x14ac:dyDescent="0.15">
      <c r="A235" t="s">
        <v>215</v>
      </c>
      <c r="B235" t="s">
        <v>3340</v>
      </c>
      <c r="C235" t="s">
        <v>74</v>
      </c>
      <c r="D235" t="s">
        <v>3317</v>
      </c>
      <c r="E235" t="s">
        <v>74</v>
      </c>
      <c r="F235" t="s">
        <v>3340</v>
      </c>
      <c r="G235" t="s">
        <v>74</v>
      </c>
      <c r="H235" t="s">
        <v>74</v>
      </c>
      <c r="I235" t="s">
        <v>3341</v>
      </c>
      <c r="J235" t="s">
        <v>3319</v>
      </c>
      <c r="K235" t="s">
        <v>220</v>
      </c>
      <c r="L235" t="s">
        <v>74</v>
      </c>
      <c r="M235" t="s">
        <v>77</v>
      </c>
      <c r="N235" t="s">
        <v>123</v>
      </c>
      <c r="O235" t="s">
        <v>3320</v>
      </c>
      <c r="P235" t="s">
        <v>3321</v>
      </c>
      <c r="Q235" t="s">
        <v>3322</v>
      </c>
      <c r="R235" t="s">
        <v>74</v>
      </c>
      <c r="S235" t="s">
        <v>74</v>
      </c>
      <c r="T235" t="s">
        <v>74</v>
      </c>
      <c r="U235" t="s">
        <v>3342</v>
      </c>
      <c r="V235" t="s">
        <v>3343</v>
      </c>
      <c r="W235" t="s">
        <v>3344</v>
      </c>
      <c r="X235" t="s">
        <v>3345</v>
      </c>
      <c r="Y235" t="s">
        <v>3346</v>
      </c>
      <c r="Z235" t="s">
        <v>74</v>
      </c>
      <c r="AA235" t="s">
        <v>3347</v>
      </c>
      <c r="AB235" t="s">
        <v>3348</v>
      </c>
      <c r="AC235" t="s">
        <v>74</v>
      </c>
      <c r="AD235" t="s">
        <v>74</v>
      </c>
      <c r="AE235" t="s">
        <v>74</v>
      </c>
      <c r="AF235" t="s">
        <v>74</v>
      </c>
      <c r="AG235">
        <v>8</v>
      </c>
      <c r="AH235">
        <v>0</v>
      </c>
      <c r="AI235">
        <v>0</v>
      </c>
      <c r="AJ235">
        <v>0</v>
      </c>
      <c r="AK235">
        <v>2</v>
      </c>
      <c r="AL235" t="s">
        <v>228</v>
      </c>
      <c r="AM235" t="s">
        <v>229</v>
      </c>
      <c r="AN235" t="s">
        <v>230</v>
      </c>
      <c r="AO235" t="s">
        <v>231</v>
      </c>
      <c r="AP235" t="s">
        <v>74</v>
      </c>
      <c r="AQ235" t="s">
        <v>3328</v>
      </c>
      <c r="AR235" t="s">
        <v>232</v>
      </c>
      <c r="AS235" t="s">
        <v>74</v>
      </c>
      <c r="AT235" t="s">
        <v>74</v>
      </c>
      <c r="AU235">
        <v>1999</v>
      </c>
      <c r="AV235">
        <v>22</v>
      </c>
      <c r="AW235">
        <v>11</v>
      </c>
      <c r="AX235" t="s">
        <v>74</v>
      </c>
      <c r="AY235" t="s">
        <v>74</v>
      </c>
      <c r="AZ235" t="s">
        <v>74</v>
      </c>
      <c r="BA235" t="s">
        <v>74</v>
      </c>
      <c r="BB235">
        <v>1557</v>
      </c>
      <c r="BC235">
        <v>1560</v>
      </c>
      <c r="BD235" t="s">
        <v>74</v>
      </c>
      <c r="BE235" t="s">
        <v>74</v>
      </c>
      <c r="BF235" t="s">
        <v>74</v>
      </c>
      <c r="BG235" t="s">
        <v>74</v>
      </c>
      <c r="BH235" t="s">
        <v>74</v>
      </c>
      <c r="BI235">
        <v>4</v>
      </c>
      <c r="BJ235" t="s">
        <v>1244</v>
      </c>
      <c r="BK235" t="s">
        <v>235</v>
      </c>
      <c r="BL235" t="s">
        <v>1245</v>
      </c>
      <c r="BM235" t="s">
        <v>3329</v>
      </c>
      <c r="BN235" t="s">
        <v>74</v>
      </c>
      <c r="BO235" t="s">
        <v>74</v>
      </c>
      <c r="BP235" t="s">
        <v>74</v>
      </c>
      <c r="BQ235" t="s">
        <v>74</v>
      </c>
      <c r="BR235" t="s">
        <v>98</v>
      </c>
      <c r="BS235" t="s">
        <v>3349</v>
      </c>
      <c r="BT235" t="str">
        <f>HYPERLINK("https%3A%2F%2Fwww.webofscience.com%2Fwos%2Fwoscc%2Ffull-record%2FWOS:000080096000017","View Full Record in Web of Science")</f>
        <v>View Full Record in Web of Science</v>
      </c>
    </row>
    <row r="236" spans="1:72" x14ac:dyDescent="0.15">
      <c r="A236" t="s">
        <v>147</v>
      </c>
      <c r="B236" t="s">
        <v>3350</v>
      </c>
      <c r="C236" t="s">
        <v>74</v>
      </c>
      <c r="D236" t="s">
        <v>3351</v>
      </c>
      <c r="E236" t="s">
        <v>74</v>
      </c>
      <c r="F236" t="s">
        <v>3350</v>
      </c>
      <c r="G236" t="s">
        <v>74</v>
      </c>
      <c r="H236" t="s">
        <v>74</v>
      </c>
      <c r="I236" t="s">
        <v>3352</v>
      </c>
      <c r="J236" t="s">
        <v>3353</v>
      </c>
      <c r="K236" t="s">
        <v>152</v>
      </c>
      <c r="L236" t="s">
        <v>74</v>
      </c>
      <c r="M236" t="s">
        <v>77</v>
      </c>
      <c r="N236" t="s">
        <v>153</v>
      </c>
      <c r="O236" t="s">
        <v>3354</v>
      </c>
      <c r="P236" t="s">
        <v>3355</v>
      </c>
      <c r="Q236" t="s">
        <v>3356</v>
      </c>
      <c r="R236" t="s">
        <v>74</v>
      </c>
      <c r="S236" t="s">
        <v>74</v>
      </c>
      <c r="T236" t="s">
        <v>3357</v>
      </c>
      <c r="U236" t="s">
        <v>3358</v>
      </c>
      <c r="V236" t="s">
        <v>3359</v>
      </c>
      <c r="W236" t="s">
        <v>3360</v>
      </c>
      <c r="X236" t="s">
        <v>3361</v>
      </c>
      <c r="Y236" t="s">
        <v>3362</v>
      </c>
      <c r="Z236" t="s">
        <v>74</v>
      </c>
      <c r="AA236" t="s">
        <v>74</v>
      </c>
      <c r="AB236" t="s">
        <v>3363</v>
      </c>
      <c r="AC236" t="s">
        <v>74</v>
      </c>
      <c r="AD236" t="s">
        <v>74</v>
      </c>
      <c r="AE236" t="s">
        <v>74</v>
      </c>
      <c r="AF236" t="s">
        <v>74</v>
      </c>
      <c r="AG236">
        <v>28</v>
      </c>
      <c r="AH236">
        <v>0</v>
      </c>
      <c r="AI236">
        <v>0</v>
      </c>
      <c r="AJ236">
        <v>1</v>
      </c>
      <c r="AK236">
        <v>3</v>
      </c>
      <c r="AL236" t="s">
        <v>163</v>
      </c>
      <c r="AM236" t="s">
        <v>164</v>
      </c>
      <c r="AN236" t="s">
        <v>165</v>
      </c>
      <c r="AO236" t="s">
        <v>166</v>
      </c>
      <c r="AP236" t="s">
        <v>74</v>
      </c>
      <c r="AQ236" t="s">
        <v>3364</v>
      </c>
      <c r="AR236" t="s">
        <v>168</v>
      </c>
      <c r="AS236" t="s">
        <v>74</v>
      </c>
      <c r="AT236" t="s">
        <v>74</v>
      </c>
      <c r="AU236">
        <v>1999</v>
      </c>
      <c r="AV236">
        <v>3867</v>
      </c>
      <c r="AW236" t="s">
        <v>74</v>
      </c>
      <c r="AX236" t="s">
        <v>74</v>
      </c>
      <c r="AY236" t="s">
        <v>74</v>
      </c>
      <c r="AZ236" t="s">
        <v>74</v>
      </c>
      <c r="BA236" t="s">
        <v>74</v>
      </c>
      <c r="BB236">
        <v>146</v>
      </c>
      <c r="BC236">
        <v>155</v>
      </c>
      <c r="BD236" t="s">
        <v>74</v>
      </c>
      <c r="BE236" t="s">
        <v>3365</v>
      </c>
      <c r="BF236" t="str">
        <f>HYPERLINK("http://dx.doi.org/10.1117/12.373068","http://dx.doi.org/10.1117/12.373068")</f>
        <v>http://dx.doi.org/10.1117/12.373068</v>
      </c>
      <c r="BG236" t="s">
        <v>74</v>
      </c>
      <c r="BH236" t="s">
        <v>74</v>
      </c>
      <c r="BI236">
        <v>10</v>
      </c>
      <c r="BJ236" t="s">
        <v>3366</v>
      </c>
      <c r="BK236" t="s">
        <v>171</v>
      </c>
      <c r="BL236" t="s">
        <v>3366</v>
      </c>
      <c r="BM236" t="s">
        <v>3367</v>
      </c>
      <c r="BN236" t="s">
        <v>74</v>
      </c>
      <c r="BO236" t="s">
        <v>74</v>
      </c>
      <c r="BP236" t="s">
        <v>74</v>
      </c>
      <c r="BQ236" t="s">
        <v>74</v>
      </c>
      <c r="BR236" t="s">
        <v>98</v>
      </c>
      <c r="BS236" t="s">
        <v>3368</v>
      </c>
      <c r="BT236" t="str">
        <f>HYPERLINK("https%3A%2F%2Fwww.webofscience.com%2Fwos%2Fwoscc%2Ffull-record%2FWOS:000085206300017","View Full Record in Web of Science")</f>
        <v>View Full Record in Web of Science</v>
      </c>
    </row>
    <row r="237" spans="1:72" x14ac:dyDescent="0.15">
      <c r="A237" t="s">
        <v>72</v>
      </c>
      <c r="B237" t="s">
        <v>3369</v>
      </c>
      <c r="C237" t="s">
        <v>74</v>
      </c>
      <c r="D237" t="s">
        <v>74</v>
      </c>
      <c r="E237" t="s">
        <v>74</v>
      </c>
      <c r="F237" t="s">
        <v>3369</v>
      </c>
      <c r="G237" t="s">
        <v>74</v>
      </c>
      <c r="H237" t="s">
        <v>74</v>
      </c>
      <c r="I237" t="s">
        <v>3370</v>
      </c>
      <c r="J237" t="s">
        <v>3371</v>
      </c>
      <c r="K237" t="s">
        <v>74</v>
      </c>
      <c r="L237" t="s">
        <v>74</v>
      </c>
      <c r="M237" t="s">
        <v>77</v>
      </c>
      <c r="N237" t="s">
        <v>103</v>
      </c>
      <c r="O237" t="s">
        <v>74</v>
      </c>
      <c r="P237" t="s">
        <v>74</v>
      </c>
      <c r="Q237" t="s">
        <v>74</v>
      </c>
      <c r="R237" t="s">
        <v>74</v>
      </c>
      <c r="S237" t="s">
        <v>74</v>
      </c>
      <c r="T237" t="s">
        <v>74</v>
      </c>
      <c r="U237" t="s">
        <v>74</v>
      </c>
      <c r="V237" t="s">
        <v>74</v>
      </c>
      <c r="W237" t="s">
        <v>74</v>
      </c>
      <c r="X237" t="s">
        <v>74</v>
      </c>
      <c r="Y237" t="s">
        <v>74</v>
      </c>
      <c r="Z237" t="s">
        <v>74</v>
      </c>
      <c r="AA237" t="s">
        <v>74</v>
      </c>
      <c r="AB237" t="s">
        <v>74</v>
      </c>
      <c r="AC237" t="s">
        <v>74</v>
      </c>
      <c r="AD237" t="s">
        <v>74</v>
      </c>
      <c r="AE237" t="s">
        <v>74</v>
      </c>
      <c r="AF237" t="s">
        <v>74</v>
      </c>
      <c r="AG237">
        <v>0</v>
      </c>
      <c r="AH237">
        <v>0</v>
      </c>
      <c r="AI237">
        <v>0</v>
      </c>
      <c r="AJ237">
        <v>0</v>
      </c>
      <c r="AK237">
        <v>0</v>
      </c>
      <c r="AL237" t="s">
        <v>3372</v>
      </c>
      <c r="AM237" t="s">
        <v>278</v>
      </c>
      <c r="AN237" t="s">
        <v>3373</v>
      </c>
      <c r="AO237" t="s">
        <v>3374</v>
      </c>
      <c r="AP237" t="s">
        <v>74</v>
      </c>
      <c r="AQ237" t="s">
        <v>74</v>
      </c>
      <c r="AR237" t="s">
        <v>3375</v>
      </c>
      <c r="AS237" t="s">
        <v>3376</v>
      </c>
      <c r="AT237" t="s">
        <v>1002</v>
      </c>
      <c r="AU237">
        <v>1999</v>
      </c>
      <c r="AV237">
        <v>39</v>
      </c>
      <c r="AW237">
        <v>1</v>
      </c>
      <c r="AX237" t="s">
        <v>74</v>
      </c>
      <c r="AY237" t="s">
        <v>74</v>
      </c>
      <c r="AZ237" t="s">
        <v>74</v>
      </c>
      <c r="BA237" t="s">
        <v>74</v>
      </c>
      <c r="BB237">
        <v>8</v>
      </c>
      <c r="BC237" t="s">
        <v>3164</v>
      </c>
      <c r="BD237" t="s">
        <v>74</v>
      </c>
      <c r="BE237" t="s">
        <v>74</v>
      </c>
      <c r="BF237" t="s">
        <v>74</v>
      </c>
      <c r="BG237" t="s">
        <v>74</v>
      </c>
      <c r="BH237" t="s">
        <v>74</v>
      </c>
      <c r="BI237">
        <v>2</v>
      </c>
      <c r="BJ237" t="s">
        <v>3377</v>
      </c>
      <c r="BK237" t="s">
        <v>95</v>
      </c>
      <c r="BL237" t="s">
        <v>3378</v>
      </c>
      <c r="BM237" t="s">
        <v>3379</v>
      </c>
      <c r="BN237" t="s">
        <v>74</v>
      </c>
      <c r="BO237" t="s">
        <v>74</v>
      </c>
      <c r="BP237" t="s">
        <v>74</v>
      </c>
      <c r="BQ237" t="s">
        <v>74</v>
      </c>
      <c r="BR237" t="s">
        <v>98</v>
      </c>
      <c r="BS237" t="s">
        <v>3380</v>
      </c>
      <c r="BT237" t="str">
        <f>HYPERLINK("https%3A%2F%2Fwww.webofscience.com%2Fwos%2Fwoscc%2Ffull-record%2FWOS:000078004800006","View Full Record in Web of Science")</f>
        <v>View Full Record in Web of Science</v>
      </c>
    </row>
    <row r="238" spans="1:72" x14ac:dyDescent="0.15">
      <c r="A238" t="s">
        <v>72</v>
      </c>
      <c r="B238" t="s">
        <v>3381</v>
      </c>
      <c r="C238" t="s">
        <v>74</v>
      </c>
      <c r="D238" t="s">
        <v>74</v>
      </c>
      <c r="E238" t="s">
        <v>74</v>
      </c>
      <c r="F238" t="s">
        <v>3381</v>
      </c>
      <c r="G238" t="s">
        <v>74</v>
      </c>
      <c r="H238" t="s">
        <v>74</v>
      </c>
      <c r="I238" t="s">
        <v>3382</v>
      </c>
      <c r="J238" t="s">
        <v>3383</v>
      </c>
      <c r="K238" t="s">
        <v>74</v>
      </c>
      <c r="L238" t="s">
        <v>74</v>
      </c>
      <c r="M238" t="s">
        <v>77</v>
      </c>
      <c r="N238" t="s">
        <v>3384</v>
      </c>
      <c r="O238" t="s">
        <v>74</v>
      </c>
      <c r="P238" t="s">
        <v>74</v>
      </c>
      <c r="Q238" t="s">
        <v>74</v>
      </c>
      <c r="R238" t="s">
        <v>74</v>
      </c>
      <c r="S238" t="s">
        <v>74</v>
      </c>
      <c r="T238" t="s">
        <v>74</v>
      </c>
      <c r="U238" t="s">
        <v>74</v>
      </c>
      <c r="V238" t="s">
        <v>74</v>
      </c>
      <c r="W238" t="s">
        <v>3385</v>
      </c>
      <c r="X238" t="s">
        <v>3250</v>
      </c>
      <c r="Y238" t="s">
        <v>3386</v>
      </c>
      <c r="Z238" t="s">
        <v>74</v>
      </c>
      <c r="AA238" t="s">
        <v>3253</v>
      </c>
      <c r="AB238" t="s">
        <v>3254</v>
      </c>
      <c r="AC238" t="s">
        <v>74</v>
      </c>
      <c r="AD238" t="s">
        <v>74</v>
      </c>
      <c r="AE238" t="s">
        <v>74</v>
      </c>
      <c r="AF238" t="s">
        <v>74</v>
      </c>
      <c r="AG238">
        <v>1</v>
      </c>
      <c r="AH238">
        <v>0</v>
      </c>
      <c r="AI238">
        <v>0</v>
      </c>
      <c r="AJ238">
        <v>1</v>
      </c>
      <c r="AK238">
        <v>1</v>
      </c>
      <c r="AL238" t="s">
        <v>3387</v>
      </c>
      <c r="AM238" t="s">
        <v>3388</v>
      </c>
      <c r="AN238" t="s">
        <v>3389</v>
      </c>
      <c r="AO238" t="s">
        <v>3390</v>
      </c>
      <c r="AP238" t="s">
        <v>74</v>
      </c>
      <c r="AQ238" t="s">
        <v>74</v>
      </c>
      <c r="AR238" t="s">
        <v>3391</v>
      </c>
      <c r="AS238" t="s">
        <v>3392</v>
      </c>
      <c r="AT238" t="s">
        <v>74</v>
      </c>
      <c r="AU238">
        <v>1999</v>
      </c>
      <c r="AV238">
        <v>115</v>
      </c>
      <c r="AW238">
        <v>4</v>
      </c>
      <c r="AX238" t="s">
        <v>74</v>
      </c>
      <c r="AY238" t="s">
        <v>74</v>
      </c>
      <c r="AZ238" t="s">
        <v>74</v>
      </c>
      <c r="BA238" t="s">
        <v>74</v>
      </c>
      <c r="BB238">
        <v>337</v>
      </c>
      <c r="BC238">
        <v>338</v>
      </c>
      <c r="BD238" t="s">
        <v>74</v>
      </c>
      <c r="BE238" t="s">
        <v>74</v>
      </c>
      <c r="BF238" t="s">
        <v>74</v>
      </c>
      <c r="BG238" t="s">
        <v>74</v>
      </c>
      <c r="BH238" t="s">
        <v>74</v>
      </c>
      <c r="BI238">
        <v>2</v>
      </c>
      <c r="BJ238" t="s">
        <v>3393</v>
      </c>
      <c r="BK238" t="s">
        <v>3394</v>
      </c>
      <c r="BL238" t="s">
        <v>3393</v>
      </c>
      <c r="BM238" t="s">
        <v>3395</v>
      </c>
      <c r="BN238" t="s">
        <v>74</v>
      </c>
      <c r="BO238" t="s">
        <v>74</v>
      </c>
      <c r="BP238" t="s">
        <v>74</v>
      </c>
      <c r="BQ238" t="s">
        <v>74</v>
      </c>
      <c r="BR238" t="s">
        <v>98</v>
      </c>
      <c r="BS238" t="s">
        <v>3396</v>
      </c>
      <c r="BT238" t="str">
        <f>HYPERLINK("https%3A%2F%2Fwww.webofscience.com%2Fwos%2Fwoscc%2Ffull-record%2FWOS:000088259500014","View Full Record in Web of Science")</f>
        <v>View Full Record in Web of Science</v>
      </c>
    </row>
    <row r="239" spans="1:72" x14ac:dyDescent="0.15">
      <c r="A239" t="s">
        <v>147</v>
      </c>
      <c r="B239" t="s">
        <v>3397</v>
      </c>
      <c r="C239" t="s">
        <v>74</v>
      </c>
      <c r="D239" t="s">
        <v>3398</v>
      </c>
      <c r="E239" t="s">
        <v>74</v>
      </c>
      <c r="F239" t="s">
        <v>3397</v>
      </c>
      <c r="G239" t="s">
        <v>74</v>
      </c>
      <c r="H239" t="s">
        <v>74</v>
      </c>
      <c r="I239" t="s">
        <v>3399</v>
      </c>
      <c r="J239" t="s">
        <v>3400</v>
      </c>
      <c r="K239" t="s">
        <v>3401</v>
      </c>
      <c r="L239" t="s">
        <v>74</v>
      </c>
      <c r="M239" t="s">
        <v>77</v>
      </c>
      <c r="N239" t="s">
        <v>153</v>
      </c>
      <c r="O239" t="s">
        <v>3402</v>
      </c>
      <c r="P239" t="s">
        <v>3403</v>
      </c>
      <c r="Q239" t="s">
        <v>3404</v>
      </c>
      <c r="R239" t="s">
        <v>74</v>
      </c>
      <c r="S239" t="s">
        <v>74</v>
      </c>
      <c r="T239" t="s">
        <v>3405</v>
      </c>
      <c r="U239" t="s">
        <v>74</v>
      </c>
      <c r="V239" t="s">
        <v>3406</v>
      </c>
      <c r="W239" t="s">
        <v>3407</v>
      </c>
      <c r="X239" t="s">
        <v>3408</v>
      </c>
      <c r="Y239" t="s">
        <v>3409</v>
      </c>
      <c r="Z239" t="s">
        <v>74</v>
      </c>
      <c r="AA239" t="s">
        <v>74</v>
      </c>
      <c r="AB239" t="s">
        <v>74</v>
      </c>
      <c r="AC239" t="s">
        <v>74</v>
      </c>
      <c r="AD239" t="s">
        <v>74</v>
      </c>
      <c r="AE239" t="s">
        <v>74</v>
      </c>
      <c r="AF239" t="s">
        <v>74</v>
      </c>
      <c r="AG239">
        <v>16</v>
      </c>
      <c r="AH239">
        <v>13</v>
      </c>
      <c r="AI239">
        <v>13</v>
      </c>
      <c r="AJ239">
        <v>1</v>
      </c>
      <c r="AK239">
        <v>3</v>
      </c>
      <c r="AL239" t="s">
        <v>3410</v>
      </c>
      <c r="AM239" t="s">
        <v>3411</v>
      </c>
      <c r="AN239" t="s">
        <v>3412</v>
      </c>
      <c r="AO239" t="s">
        <v>3413</v>
      </c>
      <c r="AP239" t="s">
        <v>74</v>
      </c>
      <c r="AQ239" t="s">
        <v>3414</v>
      </c>
      <c r="AR239" t="s">
        <v>3415</v>
      </c>
      <c r="AS239" t="s">
        <v>74</v>
      </c>
      <c r="AT239" t="s">
        <v>74</v>
      </c>
      <c r="AU239">
        <v>1999</v>
      </c>
      <c r="AV239">
        <v>215</v>
      </c>
      <c r="AW239" t="s">
        <v>74</v>
      </c>
      <c r="AX239" t="s">
        <v>74</v>
      </c>
      <c r="AY239" t="s">
        <v>74</v>
      </c>
      <c r="AZ239" t="s">
        <v>74</v>
      </c>
      <c r="BA239" t="s">
        <v>74</v>
      </c>
      <c r="BB239">
        <v>221</v>
      </c>
      <c r="BC239">
        <v>225</v>
      </c>
      <c r="BD239" t="s">
        <v>74</v>
      </c>
      <c r="BE239" t="s">
        <v>74</v>
      </c>
      <c r="BF239" t="s">
        <v>74</v>
      </c>
      <c r="BG239" t="s">
        <v>74</v>
      </c>
      <c r="BH239" t="s">
        <v>74</v>
      </c>
      <c r="BI239">
        <v>5</v>
      </c>
      <c r="BJ239" t="s">
        <v>382</v>
      </c>
      <c r="BK239" t="s">
        <v>171</v>
      </c>
      <c r="BL239" t="s">
        <v>382</v>
      </c>
      <c r="BM239" t="s">
        <v>3416</v>
      </c>
      <c r="BN239" t="s">
        <v>74</v>
      </c>
      <c r="BO239" t="s">
        <v>74</v>
      </c>
      <c r="BP239" t="s">
        <v>74</v>
      </c>
      <c r="BQ239" t="s">
        <v>74</v>
      </c>
      <c r="BR239" t="s">
        <v>98</v>
      </c>
      <c r="BS239" t="s">
        <v>3417</v>
      </c>
      <c r="BT239" t="str">
        <f>HYPERLINK("https%3A%2F%2Fwww.webofscience.com%2Fwos%2Fwoscc%2Ffull-record%2FWOS:000087479600030","View Full Record in Web of Science")</f>
        <v>View Full Record in Web of Science</v>
      </c>
    </row>
    <row r="240" spans="1:72" x14ac:dyDescent="0.15">
      <c r="A240" t="s">
        <v>72</v>
      </c>
      <c r="B240" t="s">
        <v>3418</v>
      </c>
      <c r="C240" t="s">
        <v>74</v>
      </c>
      <c r="D240" t="s">
        <v>74</v>
      </c>
      <c r="E240" t="s">
        <v>74</v>
      </c>
      <c r="F240" t="s">
        <v>3418</v>
      </c>
      <c r="G240" t="s">
        <v>74</v>
      </c>
      <c r="H240" t="s">
        <v>74</v>
      </c>
      <c r="I240" t="s">
        <v>3419</v>
      </c>
      <c r="J240" t="s">
        <v>3420</v>
      </c>
      <c r="K240" t="s">
        <v>74</v>
      </c>
      <c r="L240" t="s">
        <v>74</v>
      </c>
      <c r="M240" t="s">
        <v>77</v>
      </c>
      <c r="N240" t="s">
        <v>103</v>
      </c>
      <c r="O240" t="s">
        <v>74</v>
      </c>
      <c r="P240" t="s">
        <v>74</v>
      </c>
      <c r="Q240" t="s">
        <v>74</v>
      </c>
      <c r="R240" t="s">
        <v>74</v>
      </c>
      <c r="S240" t="s">
        <v>74</v>
      </c>
      <c r="T240" t="s">
        <v>74</v>
      </c>
      <c r="U240" t="s">
        <v>3421</v>
      </c>
      <c r="V240" t="s">
        <v>3422</v>
      </c>
      <c r="W240" t="s">
        <v>3423</v>
      </c>
      <c r="X240" t="s">
        <v>3424</v>
      </c>
      <c r="Y240" t="s">
        <v>3425</v>
      </c>
      <c r="Z240" t="s">
        <v>74</v>
      </c>
      <c r="AA240" t="s">
        <v>74</v>
      </c>
      <c r="AB240" t="s">
        <v>3426</v>
      </c>
      <c r="AC240" t="s">
        <v>74</v>
      </c>
      <c r="AD240" t="s">
        <v>74</v>
      </c>
      <c r="AE240" t="s">
        <v>74</v>
      </c>
      <c r="AF240" t="s">
        <v>74</v>
      </c>
      <c r="AG240">
        <v>58</v>
      </c>
      <c r="AH240">
        <v>21</v>
      </c>
      <c r="AI240">
        <v>22</v>
      </c>
      <c r="AJ240">
        <v>1</v>
      </c>
      <c r="AK240">
        <v>1</v>
      </c>
      <c r="AL240" t="s">
        <v>3427</v>
      </c>
      <c r="AM240" t="s">
        <v>3428</v>
      </c>
      <c r="AN240" t="s">
        <v>3429</v>
      </c>
      <c r="AO240" t="s">
        <v>3430</v>
      </c>
      <c r="AP240" t="s">
        <v>74</v>
      </c>
      <c r="AQ240" t="s">
        <v>74</v>
      </c>
      <c r="AR240" t="s">
        <v>3431</v>
      </c>
      <c r="AS240" t="s">
        <v>3432</v>
      </c>
      <c r="AT240" t="s">
        <v>74</v>
      </c>
      <c r="AU240">
        <v>1999</v>
      </c>
      <c r="AV240">
        <v>21</v>
      </c>
      <c r="AW240" t="s">
        <v>74</v>
      </c>
      <c r="AX240" t="s">
        <v>74</v>
      </c>
      <c r="AY240" t="s">
        <v>74</v>
      </c>
      <c r="AZ240" t="s">
        <v>74</v>
      </c>
      <c r="BA240" t="s">
        <v>74</v>
      </c>
      <c r="BB240">
        <v>235</v>
      </c>
      <c r="BC240">
        <v>249</v>
      </c>
      <c r="BD240" t="s">
        <v>74</v>
      </c>
      <c r="BE240" t="s">
        <v>74</v>
      </c>
      <c r="BF240" t="s">
        <v>74</v>
      </c>
      <c r="BG240" t="s">
        <v>74</v>
      </c>
      <c r="BH240" t="s">
        <v>74</v>
      </c>
      <c r="BI240">
        <v>15</v>
      </c>
      <c r="BJ240" t="s">
        <v>212</v>
      </c>
      <c r="BK240" t="s">
        <v>95</v>
      </c>
      <c r="BL240" t="s">
        <v>212</v>
      </c>
      <c r="BM240" t="s">
        <v>3433</v>
      </c>
      <c r="BN240" t="s">
        <v>74</v>
      </c>
      <c r="BO240" t="s">
        <v>74</v>
      </c>
      <c r="BP240" t="s">
        <v>74</v>
      </c>
      <c r="BQ240" t="s">
        <v>74</v>
      </c>
      <c r="BR240" t="s">
        <v>98</v>
      </c>
      <c r="BS240" t="s">
        <v>3434</v>
      </c>
      <c r="BT240" t="str">
        <f>HYPERLINK("https%3A%2F%2Fwww.webofscience.com%2Fwos%2Fwoscc%2Ffull-record%2FWOS:000084610900019","View Full Record in Web of Science")</f>
        <v>View Full Record in Web of Science</v>
      </c>
    </row>
    <row r="241" spans="1:72" x14ac:dyDescent="0.15">
      <c r="A241" t="s">
        <v>72</v>
      </c>
      <c r="B241" t="s">
        <v>3435</v>
      </c>
      <c r="C241" t="s">
        <v>74</v>
      </c>
      <c r="D241" t="s">
        <v>74</v>
      </c>
      <c r="E241" t="s">
        <v>74</v>
      </c>
      <c r="F241" t="s">
        <v>3435</v>
      </c>
      <c r="G241" t="s">
        <v>74</v>
      </c>
      <c r="H241" t="s">
        <v>74</v>
      </c>
      <c r="I241" t="s">
        <v>3436</v>
      </c>
      <c r="J241" t="s">
        <v>3420</v>
      </c>
      <c r="K241" t="s">
        <v>74</v>
      </c>
      <c r="L241" t="s">
        <v>74</v>
      </c>
      <c r="M241" t="s">
        <v>77</v>
      </c>
      <c r="N241" t="s">
        <v>103</v>
      </c>
      <c r="O241" t="s">
        <v>74</v>
      </c>
      <c r="P241" t="s">
        <v>74</v>
      </c>
      <c r="Q241" t="s">
        <v>74</v>
      </c>
      <c r="R241" t="s">
        <v>74</v>
      </c>
      <c r="S241" t="s">
        <v>74</v>
      </c>
      <c r="T241" t="s">
        <v>74</v>
      </c>
      <c r="U241" t="s">
        <v>3437</v>
      </c>
      <c r="V241" t="s">
        <v>3438</v>
      </c>
      <c r="W241" t="s">
        <v>3439</v>
      </c>
      <c r="X241" t="s">
        <v>3440</v>
      </c>
      <c r="Y241" t="s">
        <v>3441</v>
      </c>
      <c r="Z241" t="s">
        <v>74</v>
      </c>
      <c r="AA241" t="s">
        <v>74</v>
      </c>
      <c r="AB241" t="s">
        <v>74</v>
      </c>
      <c r="AC241" t="s">
        <v>74</v>
      </c>
      <c r="AD241" t="s">
        <v>74</v>
      </c>
      <c r="AE241" t="s">
        <v>74</v>
      </c>
      <c r="AF241" t="s">
        <v>74</v>
      </c>
      <c r="AG241">
        <v>36</v>
      </c>
      <c r="AH241">
        <v>27</v>
      </c>
      <c r="AI241">
        <v>27</v>
      </c>
      <c r="AJ241">
        <v>0</v>
      </c>
      <c r="AK241">
        <v>17</v>
      </c>
      <c r="AL241" t="s">
        <v>3427</v>
      </c>
      <c r="AM241" t="s">
        <v>3428</v>
      </c>
      <c r="AN241" t="s">
        <v>3429</v>
      </c>
      <c r="AO241" t="s">
        <v>3430</v>
      </c>
      <c r="AP241" t="s">
        <v>74</v>
      </c>
      <c r="AQ241" t="s">
        <v>74</v>
      </c>
      <c r="AR241" t="s">
        <v>3431</v>
      </c>
      <c r="AS241" t="s">
        <v>3432</v>
      </c>
      <c r="AT241" t="s">
        <v>74</v>
      </c>
      <c r="AU241">
        <v>1999</v>
      </c>
      <c r="AV241">
        <v>21</v>
      </c>
      <c r="AW241" t="s">
        <v>74</v>
      </c>
      <c r="AX241" t="s">
        <v>74</v>
      </c>
      <c r="AY241" t="s">
        <v>74</v>
      </c>
      <c r="AZ241" t="s">
        <v>74</v>
      </c>
      <c r="BA241" t="s">
        <v>74</v>
      </c>
      <c r="BB241">
        <v>393</v>
      </c>
      <c r="BC241">
        <v>413</v>
      </c>
      <c r="BD241" t="s">
        <v>74</v>
      </c>
      <c r="BE241" t="s">
        <v>74</v>
      </c>
      <c r="BF241" t="s">
        <v>74</v>
      </c>
      <c r="BG241" t="s">
        <v>74</v>
      </c>
      <c r="BH241" t="s">
        <v>74</v>
      </c>
      <c r="BI241">
        <v>21</v>
      </c>
      <c r="BJ241" t="s">
        <v>212</v>
      </c>
      <c r="BK241" t="s">
        <v>95</v>
      </c>
      <c r="BL241" t="s">
        <v>212</v>
      </c>
      <c r="BM241" t="s">
        <v>3433</v>
      </c>
      <c r="BN241" t="s">
        <v>74</v>
      </c>
      <c r="BO241" t="s">
        <v>74</v>
      </c>
      <c r="BP241" t="s">
        <v>74</v>
      </c>
      <c r="BQ241" t="s">
        <v>74</v>
      </c>
      <c r="BR241" t="s">
        <v>98</v>
      </c>
      <c r="BS241" t="s">
        <v>3442</v>
      </c>
      <c r="BT241" t="str">
        <f>HYPERLINK("https%3A%2F%2Fwww.webofscience.com%2Fwos%2Fwoscc%2Ffull-record%2FWOS:000084610900027","View Full Record in Web of Science")</f>
        <v>View Full Record in Web of Science</v>
      </c>
    </row>
    <row r="242" spans="1:72" x14ac:dyDescent="0.15">
      <c r="A242" t="s">
        <v>72</v>
      </c>
      <c r="B242" t="s">
        <v>3443</v>
      </c>
      <c r="C242" t="s">
        <v>74</v>
      </c>
      <c r="D242" t="s">
        <v>74</v>
      </c>
      <c r="E242" t="s">
        <v>74</v>
      </c>
      <c r="F242" t="s">
        <v>3443</v>
      </c>
      <c r="G242" t="s">
        <v>74</v>
      </c>
      <c r="H242" t="s">
        <v>74</v>
      </c>
      <c r="I242" t="s">
        <v>3444</v>
      </c>
      <c r="J242" t="s">
        <v>3445</v>
      </c>
      <c r="K242" t="s">
        <v>74</v>
      </c>
      <c r="L242" t="s">
        <v>74</v>
      </c>
      <c r="M242" t="s">
        <v>77</v>
      </c>
      <c r="N242" t="s">
        <v>103</v>
      </c>
      <c r="O242" t="s">
        <v>74</v>
      </c>
      <c r="P242" t="s">
        <v>74</v>
      </c>
      <c r="Q242" t="s">
        <v>74</v>
      </c>
      <c r="R242" t="s">
        <v>74</v>
      </c>
      <c r="S242" t="s">
        <v>74</v>
      </c>
      <c r="T242" t="s">
        <v>74</v>
      </c>
      <c r="U242" t="s">
        <v>3446</v>
      </c>
      <c r="V242" t="s">
        <v>3447</v>
      </c>
      <c r="W242" t="s">
        <v>3448</v>
      </c>
      <c r="X242" t="s">
        <v>3449</v>
      </c>
      <c r="Y242" t="s">
        <v>3450</v>
      </c>
      <c r="Z242" t="s">
        <v>3451</v>
      </c>
      <c r="AA242" t="s">
        <v>3452</v>
      </c>
      <c r="AB242" t="s">
        <v>3453</v>
      </c>
      <c r="AC242" t="s">
        <v>74</v>
      </c>
      <c r="AD242" t="s">
        <v>74</v>
      </c>
      <c r="AE242" t="s">
        <v>74</v>
      </c>
      <c r="AF242" t="s">
        <v>74</v>
      </c>
      <c r="AG242">
        <v>21</v>
      </c>
      <c r="AH242">
        <v>7</v>
      </c>
      <c r="AI242">
        <v>7</v>
      </c>
      <c r="AJ242">
        <v>0</v>
      </c>
      <c r="AK242">
        <v>1</v>
      </c>
      <c r="AL242" t="s">
        <v>3454</v>
      </c>
      <c r="AM242" t="s">
        <v>3455</v>
      </c>
      <c r="AN242" t="s">
        <v>3456</v>
      </c>
      <c r="AO242" t="s">
        <v>3457</v>
      </c>
      <c r="AP242" t="s">
        <v>3458</v>
      </c>
      <c r="AQ242" t="s">
        <v>74</v>
      </c>
      <c r="AR242" t="s">
        <v>3459</v>
      </c>
      <c r="AS242" t="s">
        <v>3460</v>
      </c>
      <c r="AT242" t="s">
        <v>143</v>
      </c>
      <c r="AU242">
        <v>1999</v>
      </c>
      <c r="AV242">
        <v>95</v>
      </c>
      <c r="AW242">
        <v>1</v>
      </c>
      <c r="AX242" t="s">
        <v>74</v>
      </c>
      <c r="AY242" t="s">
        <v>74</v>
      </c>
      <c r="AZ242" t="s">
        <v>74</v>
      </c>
      <c r="BA242" t="s">
        <v>74</v>
      </c>
      <c r="BB242">
        <v>26</v>
      </c>
      <c r="BC242">
        <v>30</v>
      </c>
      <c r="BD242" t="s">
        <v>74</v>
      </c>
      <c r="BE242" t="s">
        <v>74</v>
      </c>
      <c r="BF242" t="s">
        <v>74</v>
      </c>
      <c r="BG242" t="s">
        <v>74</v>
      </c>
      <c r="BH242" t="s">
        <v>74</v>
      </c>
      <c r="BI242">
        <v>5</v>
      </c>
      <c r="BJ242" t="s">
        <v>3377</v>
      </c>
      <c r="BK242" t="s">
        <v>95</v>
      </c>
      <c r="BL242" t="s">
        <v>3378</v>
      </c>
      <c r="BM242" t="s">
        <v>3461</v>
      </c>
      <c r="BN242" t="s">
        <v>74</v>
      </c>
      <c r="BO242" t="s">
        <v>74</v>
      </c>
      <c r="BP242" t="s">
        <v>74</v>
      </c>
      <c r="BQ242" t="s">
        <v>74</v>
      </c>
      <c r="BR242" t="s">
        <v>98</v>
      </c>
      <c r="BS242" t="s">
        <v>3462</v>
      </c>
      <c r="BT242" t="str">
        <f>HYPERLINK("https%3A%2F%2Fwww.webofscience.com%2Fwos%2Fwoscc%2Ffull-record%2FWOS:000079628600007","View Full Record in Web of Science")</f>
        <v>View Full Record in Web of Science</v>
      </c>
    </row>
    <row r="243" spans="1:72" x14ac:dyDescent="0.15">
      <c r="A243" t="s">
        <v>72</v>
      </c>
      <c r="B243" t="s">
        <v>3463</v>
      </c>
      <c r="C243" t="s">
        <v>74</v>
      </c>
      <c r="D243" t="s">
        <v>74</v>
      </c>
      <c r="E243" t="s">
        <v>74</v>
      </c>
      <c r="F243" t="s">
        <v>3463</v>
      </c>
      <c r="G243" t="s">
        <v>74</v>
      </c>
      <c r="H243" t="s">
        <v>74</v>
      </c>
      <c r="I243" t="s">
        <v>3464</v>
      </c>
      <c r="J243" t="s">
        <v>3465</v>
      </c>
      <c r="K243" t="s">
        <v>74</v>
      </c>
      <c r="L243" t="s">
        <v>74</v>
      </c>
      <c r="M243" t="s">
        <v>77</v>
      </c>
      <c r="N243" t="s">
        <v>103</v>
      </c>
      <c r="O243" t="s">
        <v>74</v>
      </c>
      <c r="P243" t="s">
        <v>74</v>
      </c>
      <c r="Q243" t="s">
        <v>74</v>
      </c>
      <c r="R243" t="s">
        <v>74</v>
      </c>
      <c r="S243" t="s">
        <v>74</v>
      </c>
      <c r="T243" t="s">
        <v>3466</v>
      </c>
      <c r="U243" t="s">
        <v>3467</v>
      </c>
      <c r="V243" t="s">
        <v>3468</v>
      </c>
      <c r="W243" t="s">
        <v>3439</v>
      </c>
      <c r="X243" t="s">
        <v>3440</v>
      </c>
      <c r="Y243" t="s">
        <v>3469</v>
      </c>
      <c r="Z243" t="s">
        <v>74</v>
      </c>
      <c r="AA243" t="s">
        <v>3470</v>
      </c>
      <c r="AB243" t="s">
        <v>74</v>
      </c>
      <c r="AC243" t="s">
        <v>74</v>
      </c>
      <c r="AD243" t="s">
        <v>74</v>
      </c>
      <c r="AE243" t="s">
        <v>74</v>
      </c>
      <c r="AF243" t="s">
        <v>74</v>
      </c>
      <c r="AG243">
        <v>27</v>
      </c>
      <c r="AH243">
        <v>17</v>
      </c>
      <c r="AI243">
        <v>20</v>
      </c>
      <c r="AJ243">
        <v>0</v>
      </c>
      <c r="AK243">
        <v>6</v>
      </c>
      <c r="AL243" t="s">
        <v>3471</v>
      </c>
      <c r="AM243" t="s">
        <v>3472</v>
      </c>
      <c r="AN243" t="s">
        <v>3473</v>
      </c>
      <c r="AO243" t="s">
        <v>3474</v>
      </c>
      <c r="AP243" t="s">
        <v>74</v>
      </c>
      <c r="AQ243" t="s">
        <v>74</v>
      </c>
      <c r="AR243" t="s">
        <v>3475</v>
      </c>
      <c r="AS243" t="s">
        <v>3476</v>
      </c>
      <c r="AT243" t="s">
        <v>74</v>
      </c>
      <c r="AU243">
        <v>1999</v>
      </c>
      <c r="AV243">
        <v>29</v>
      </c>
      <c r="AW243">
        <v>3</v>
      </c>
      <c r="AX243" t="s">
        <v>74</v>
      </c>
      <c r="AY243" t="s">
        <v>74</v>
      </c>
      <c r="AZ243" t="s">
        <v>74</v>
      </c>
      <c r="BA243" t="s">
        <v>74</v>
      </c>
      <c r="BB243">
        <v>55</v>
      </c>
      <c r="BC243">
        <v>61</v>
      </c>
      <c r="BD243" t="s">
        <v>74</v>
      </c>
      <c r="BE243" t="s">
        <v>74</v>
      </c>
      <c r="BF243" t="s">
        <v>74</v>
      </c>
      <c r="BG243" t="s">
        <v>74</v>
      </c>
      <c r="BH243" t="s">
        <v>74</v>
      </c>
      <c r="BI243">
        <v>7</v>
      </c>
      <c r="BJ243" t="s">
        <v>1332</v>
      </c>
      <c r="BK243" t="s">
        <v>95</v>
      </c>
      <c r="BL243" t="s">
        <v>1333</v>
      </c>
      <c r="BM243" t="s">
        <v>3477</v>
      </c>
      <c r="BN243" t="s">
        <v>74</v>
      </c>
      <c r="BO243" t="s">
        <v>74</v>
      </c>
      <c r="BP243" t="s">
        <v>74</v>
      </c>
      <c r="BQ243" t="s">
        <v>74</v>
      </c>
      <c r="BR243" t="s">
        <v>98</v>
      </c>
      <c r="BS243" t="s">
        <v>3478</v>
      </c>
      <c r="BT243" t="str">
        <f>HYPERLINK("https%3A%2F%2Fwww.webofscience.com%2Fwos%2Fwoscc%2Ffull-record%2FWOS:000083630400001","View Full Record in Web of Science")</f>
        <v>View Full Record in Web of Science</v>
      </c>
    </row>
    <row r="244" spans="1:72" x14ac:dyDescent="0.15">
      <c r="A244" t="s">
        <v>72</v>
      </c>
      <c r="B244" t="s">
        <v>3479</v>
      </c>
      <c r="C244" t="s">
        <v>74</v>
      </c>
      <c r="D244" t="s">
        <v>74</v>
      </c>
      <c r="E244" t="s">
        <v>74</v>
      </c>
      <c r="F244" t="s">
        <v>3479</v>
      </c>
      <c r="G244" t="s">
        <v>74</v>
      </c>
      <c r="H244" t="s">
        <v>74</v>
      </c>
      <c r="I244" t="s">
        <v>3480</v>
      </c>
      <c r="J244" t="s">
        <v>3481</v>
      </c>
      <c r="K244" t="s">
        <v>74</v>
      </c>
      <c r="L244" t="s">
        <v>74</v>
      </c>
      <c r="M244" t="s">
        <v>77</v>
      </c>
      <c r="N244" t="s">
        <v>123</v>
      </c>
      <c r="O244" t="s">
        <v>3482</v>
      </c>
      <c r="P244" t="s">
        <v>3483</v>
      </c>
      <c r="Q244" t="s">
        <v>3484</v>
      </c>
      <c r="R244" t="s">
        <v>74</v>
      </c>
      <c r="S244" t="s">
        <v>74</v>
      </c>
      <c r="T244" t="s">
        <v>74</v>
      </c>
      <c r="U244" t="s">
        <v>3485</v>
      </c>
      <c r="V244" t="s">
        <v>3486</v>
      </c>
      <c r="W244" t="s">
        <v>3487</v>
      </c>
      <c r="X244" t="s">
        <v>3488</v>
      </c>
      <c r="Y244" t="s">
        <v>3489</v>
      </c>
      <c r="Z244" t="s">
        <v>3490</v>
      </c>
      <c r="AA244" t="s">
        <v>74</v>
      </c>
      <c r="AB244" t="s">
        <v>74</v>
      </c>
      <c r="AC244" t="s">
        <v>74</v>
      </c>
      <c r="AD244" t="s">
        <v>74</v>
      </c>
      <c r="AE244" t="s">
        <v>74</v>
      </c>
      <c r="AF244" t="s">
        <v>74</v>
      </c>
      <c r="AG244">
        <v>47</v>
      </c>
      <c r="AH244">
        <v>121</v>
      </c>
      <c r="AI244">
        <v>131</v>
      </c>
      <c r="AJ244">
        <v>2</v>
      </c>
      <c r="AK244">
        <v>39</v>
      </c>
      <c r="AL244" t="s">
        <v>1201</v>
      </c>
      <c r="AM244" t="s">
        <v>1202</v>
      </c>
      <c r="AN244" t="s">
        <v>1203</v>
      </c>
      <c r="AO244" t="s">
        <v>3491</v>
      </c>
      <c r="AP244" t="s">
        <v>74</v>
      </c>
      <c r="AQ244" t="s">
        <v>74</v>
      </c>
      <c r="AR244" t="s">
        <v>3492</v>
      </c>
      <c r="AS244" t="s">
        <v>3493</v>
      </c>
      <c r="AT244" t="s">
        <v>1002</v>
      </c>
      <c r="AU244">
        <v>1999</v>
      </c>
      <c r="AV244">
        <v>51</v>
      </c>
      <c r="AW244">
        <v>1</v>
      </c>
      <c r="AX244" t="s">
        <v>74</v>
      </c>
      <c r="AY244" t="s">
        <v>74</v>
      </c>
      <c r="AZ244" t="s">
        <v>74</v>
      </c>
      <c r="BA244" t="s">
        <v>74</v>
      </c>
      <c r="BB244">
        <v>91</v>
      </c>
      <c r="BC244">
        <v>109</v>
      </c>
      <c r="BD244" t="s">
        <v>74</v>
      </c>
      <c r="BE244" t="s">
        <v>74</v>
      </c>
      <c r="BF244" t="s">
        <v>74</v>
      </c>
      <c r="BG244" t="s">
        <v>74</v>
      </c>
      <c r="BH244" t="s">
        <v>74</v>
      </c>
      <c r="BI244">
        <v>19</v>
      </c>
      <c r="BJ244" t="s">
        <v>3494</v>
      </c>
      <c r="BK244" t="s">
        <v>144</v>
      </c>
      <c r="BL244" t="s">
        <v>3494</v>
      </c>
      <c r="BM244" t="s">
        <v>3495</v>
      </c>
      <c r="BN244" t="s">
        <v>74</v>
      </c>
      <c r="BO244" t="s">
        <v>74</v>
      </c>
      <c r="BP244" t="s">
        <v>74</v>
      </c>
      <c r="BQ244" t="s">
        <v>74</v>
      </c>
      <c r="BR244" t="s">
        <v>98</v>
      </c>
      <c r="BS244" t="s">
        <v>3496</v>
      </c>
      <c r="BT244" t="str">
        <f>HYPERLINK("https%3A%2F%2Fwww.webofscience.com%2Fwos%2Fwoscc%2Ffull-record%2FWOS:000079223700008","View Full Record in Web of Science")</f>
        <v>View Full Record in Web of Science</v>
      </c>
    </row>
    <row r="245" spans="1:72" x14ac:dyDescent="0.15">
      <c r="A245" t="s">
        <v>215</v>
      </c>
      <c r="B245" t="s">
        <v>3497</v>
      </c>
      <c r="C245" t="s">
        <v>74</v>
      </c>
      <c r="D245" t="s">
        <v>3498</v>
      </c>
      <c r="E245" t="s">
        <v>74</v>
      </c>
      <c r="F245" t="s">
        <v>3497</v>
      </c>
      <c r="G245" t="s">
        <v>74</v>
      </c>
      <c r="H245" t="s">
        <v>74</v>
      </c>
      <c r="I245" t="s">
        <v>3499</v>
      </c>
      <c r="J245" t="s">
        <v>3500</v>
      </c>
      <c r="K245" t="s">
        <v>220</v>
      </c>
      <c r="L245" t="s">
        <v>74</v>
      </c>
      <c r="M245" t="s">
        <v>77</v>
      </c>
      <c r="N245" t="s">
        <v>123</v>
      </c>
      <c r="O245" t="s">
        <v>3501</v>
      </c>
      <c r="P245" t="s">
        <v>222</v>
      </c>
      <c r="Q245" t="s">
        <v>223</v>
      </c>
      <c r="R245" t="s">
        <v>74</v>
      </c>
      <c r="S245" t="s">
        <v>74</v>
      </c>
      <c r="T245" t="s">
        <v>74</v>
      </c>
      <c r="U245" t="s">
        <v>3502</v>
      </c>
      <c r="V245" t="s">
        <v>3503</v>
      </c>
      <c r="W245" t="s">
        <v>3504</v>
      </c>
      <c r="X245" t="s">
        <v>3505</v>
      </c>
      <c r="Y245" t="s">
        <v>3506</v>
      </c>
      <c r="Z245" t="s">
        <v>74</v>
      </c>
      <c r="AA245" t="s">
        <v>74</v>
      </c>
      <c r="AB245" t="s">
        <v>74</v>
      </c>
      <c r="AC245" t="s">
        <v>74</v>
      </c>
      <c r="AD245" t="s">
        <v>74</v>
      </c>
      <c r="AE245" t="s">
        <v>74</v>
      </c>
      <c r="AF245" t="s">
        <v>74</v>
      </c>
      <c r="AG245">
        <v>4</v>
      </c>
      <c r="AH245">
        <v>1</v>
      </c>
      <c r="AI245">
        <v>1</v>
      </c>
      <c r="AJ245">
        <v>0</v>
      </c>
      <c r="AK245">
        <v>2</v>
      </c>
      <c r="AL245" t="s">
        <v>228</v>
      </c>
      <c r="AM245" t="s">
        <v>229</v>
      </c>
      <c r="AN245" t="s">
        <v>230</v>
      </c>
      <c r="AO245" t="s">
        <v>231</v>
      </c>
      <c r="AP245" t="s">
        <v>74</v>
      </c>
      <c r="AQ245" t="s">
        <v>74</v>
      </c>
      <c r="AR245" t="s">
        <v>232</v>
      </c>
      <c r="AS245" t="s">
        <v>74</v>
      </c>
      <c r="AT245" t="s">
        <v>74</v>
      </c>
      <c r="AU245">
        <v>1999</v>
      </c>
      <c r="AV245">
        <v>23</v>
      </c>
      <c r="AW245">
        <v>3</v>
      </c>
      <c r="AX245" t="s">
        <v>74</v>
      </c>
      <c r="AY245" t="s">
        <v>74</v>
      </c>
      <c r="AZ245" t="s">
        <v>74</v>
      </c>
      <c r="BA245" t="s">
        <v>74</v>
      </c>
      <c r="BB245">
        <v>483</v>
      </c>
      <c r="BC245">
        <v>486</v>
      </c>
      <c r="BD245" t="s">
        <v>74</v>
      </c>
      <c r="BE245" t="s">
        <v>3507</v>
      </c>
      <c r="BF245" t="str">
        <f>HYPERLINK("http://dx.doi.org/10.1016/S0273-1177(99)00110-6","http://dx.doi.org/10.1016/S0273-1177(99)00110-6")</f>
        <v>http://dx.doi.org/10.1016/S0273-1177(99)00110-6</v>
      </c>
      <c r="BG245" t="s">
        <v>74</v>
      </c>
      <c r="BH245" t="s">
        <v>74</v>
      </c>
      <c r="BI245">
        <v>4</v>
      </c>
      <c r="BJ245" t="s">
        <v>1244</v>
      </c>
      <c r="BK245" t="s">
        <v>235</v>
      </c>
      <c r="BL245" t="s">
        <v>1245</v>
      </c>
      <c r="BM245" t="s">
        <v>3508</v>
      </c>
      <c r="BN245" t="s">
        <v>74</v>
      </c>
      <c r="BO245" t="s">
        <v>74</v>
      </c>
      <c r="BP245" t="s">
        <v>74</v>
      </c>
      <c r="BQ245" t="s">
        <v>74</v>
      </c>
      <c r="BR245" t="s">
        <v>98</v>
      </c>
      <c r="BS245" t="s">
        <v>3509</v>
      </c>
      <c r="BT245" t="str">
        <f>HYPERLINK("https%3A%2F%2Fwww.webofscience.com%2Fwos%2Fwoscc%2Ffull-record%2FWOS:000081205800012","View Full Record in Web of Science")</f>
        <v>View Full Record in Web of Science</v>
      </c>
    </row>
    <row r="246" spans="1:72" x14ac:dyDescent="0.15">
      <c r="A246" t="s">
        <v>72</v>
      </c>
      <c r="B246" t="s">
        <v>3510</v>
      </c>
      <c r="C246" t="s">
        <v>74</v>
      </c>
      <c r="D246" t="s">
        <v>74</v>
      </c>
      <c r="E246" t="s">
        <v>74</v>
      </c>
      <c r="F246" t="s">
        <v>3510</v>
      </c>
      <c r="G246" t="s">
        <v>74</v>
      </c>
      <c r="H246" t="s">
        <v>74</v>
      </c>
      <c r="I246" t="s">
        <v>3511</v>
      </c>
      <c r="J246" t="s">
        <v>3512</v>
      </c>
      <c r="K246" t="s">
        <v>74</v>
      </c>
      <c r="L246" t="s">
        <v>74</v>
      </c>
      <c r="M246" t="s">
        <v>77</v>
      </c>
      <c r="N246" t="s">
        <v>78</v>
      </c>
      <c r="O246" t="s">
        <v>74</v>
      </c>
      <c r="P246" t="s">
        <v>74</v>
      </c>
      <c r="Q246" t="s">
        <v>74</v>
      </c>
      <c r="R246" t="s">
        <v>74</v>
      </c>
      <c r="S246" t="s">
        <v>74</v>
      </c>
      <c r="T246" t="s">
        <v>3513</v>
      </c>
      <c r="U246" t="s">
        <v>3514</v>
      </c>
      <c r="V246" t="s">
        <v>3515</v>
      </c>
      <c r="W246" t="s">
        <v>3516</v>
      </c>
      <c r="X246" t="s">
        <v>3517</v>
      </c>
      <c r="Y246" t="s">
        <v>3518</v>
      </c>
      <c r="Z246" t="s">
        <v>74</v>
      </c>
      <c r="AA246" t="s">
        <v>3519</v>
      </c>
      <c r="AB246" t="s">
        <v>3520</v>
      </c>
      <c r="AC246" t="s">
        <v>74</v>
      </c>
      <c r="AD246" t="s">
        <v>74</v>
      </c>
      <c r="AE246" t="s">
        <v>74</v>
      </c>
      <c r="AF246" t="s">
        <v>74</v>
      </c>
      <c r="AG246">
        <v>142</v>
      </c>
      <c r="AH246">
        <v>32</v>
      </c>
      <c r="AI246">
        <v>34</v>
      </c>
      <c r="AJ246">
        <v>2</v>
      </c>
      <c r="AK246">
        <v>22</v>
      </c>
      <c r="AL246" t="s">
        <v>3521</v>
      </c>
      <c r="AM246" t="s">
        <v>967</v>
      </c>
      <c r="AN246" t="s">
        <v>3522</v>
      </c>
      <c r="AO246" t="s">
        <v>3523</v>
      </c>
      <c r="AP246" t="s">
        <v>74</v>
      </c>
      <c r="AQ246" t="s">
        <v>74</v>
      </c>
      <c r="AR246" t="s">
        <v>3512</v>
      </c>
      <c r="AS246" t="s">
        <v>3524</v>
      </c>
      <c r="AT246" t="s">
        <v>74</v>
      </c>
      <c r="AU246">
        <v>1999</v>
      </c>
      <c r="AV246">
        <v>22</v>
      </c>
      <c r="AW246">
        <v>1</v>
      </c>
      <c r="AX246" t="s">
        <v>74</v>
      </c>
      <c r="AY246" t="s">
        <v>74</v>
      </c>
      <c r="AZ246" t="s">
        <v>74</v>
      </c>
      <c r="BA246" t="s">
        <v>74</v>
      </c>
      <c r="BB246">
        <v>14</v>
      </c>
      <c r="BC246">
        <v>28</v>
      </c>
      <c r="BD246" t="s">
        <v>74</v>
      </c>
      <c r="BE246" t="s">
        <v>3525</v>
      </c>
      <c r="BF246" t="str">
        <f>HYPERLINK("http://dx.doi.org/10.2307/1521989","http://dx.doi.org/10.2307/1521989")</f>
        <v>http://dx.doi.org/10.2307/1521989</v>
      </c>
      <c r="BG246" t="s">
        <v>74</v>
      </c>
      <c r="BH246" t="s">
        <v>74</v>
      </c>
      <c r="BI246">
        <v>15</v>
      </c>
      <c r="BJ246" t="s">
        <v>3526</v>
      </c>
      <c r="BK246" t="s">
        <v>95</v>
      </c>
      <c r="BL246" t="s">
        <v>117</v>
      </c>
      <c r="BM246" t="s">
        <v>3527</v>
      </c>
      <c r="BN246" t="s">
        <v>74</v>
      </c>
      <c r="BO246" t="s">
        <v>74</v>
      </c>
      <c r="BP246" t="s">
        <v>74</v>
      </c>
      <c r="BQ246" t="s">
        <v>74</v>
      </c>
      <c r="BR246" t="s">
        <v>98</v>
      </c>
      <c r="BS246" t="s">
        <v>3528</v>
      </c>
      <c r="BT246" t="str">
        <f>HYPERLINK("https%3A%2F%2Fwww.webofscience.com%2Fwos%2Fwoscc%2Ffull-record%2FWOS:000083508100003","View Full Record in Web of Science")</f>
        <v>View Full Record in Web of Science</v>
      </c>
    </row>
    <row r="247" spans="1:72" x14ac:dyDescent="0.15">
      <c r="A247" t="s">
        <v>72</v>
      </c>
      <c r="B247" t="s">
        <v>3529</v>
      </c>
      <c r="C247" t="s">
        <v>74</v>
      </c>
      <c r="D247" t="s">
        <v>74</v>
      </c>
      <c r="E247" t="s">
        <v>74</v>
      </c>
      <c r="F247" t="s">
        <v>3529</v>
      </c>
      <c r="G247" t="s">
        <v>74</v>
      </c>
      <c r="H247" t="s">
        <v>74</v>
      </c>
      <c r="I247" t="s">
        <v>3530</v>
      </c>
      <c r="J247" t="s">
        <v>3512</v>
      </c>
      <c r="K247" t="s">
        <v>74</v>
      </c>
      <c r="L247" t="s">
        <v>74</v>
      </c>
      <c r="M247" t="s">
        <v>77</v>
      </c>
      <c r="N247" t="s">
        <v>103</v>
      </c>
      <c r="O247" t="s">
        <v>74</v>
      </c>
      <c r="P247" t="s">
        <v>74</v>
      </c>
      <c r="Q247" t="s">
        <v>74</v>
      </c>
      <c r="R247" t="s">
        <v>74</v>
      </c>
      <c r="S247" t="s">
        <v>74</v>
      </c>
      <c r="T247" t="s">
        <v>3531</v>
      </c>
      <c r="U247" t="s">
        <v>3532</v>
      </c>
      <c r="V247" t="s">
        <v>3533</v>
      </c>
      <c r="W247" t="s">
        <v>3534</v>
      </c>
      <c r="X247" t="s">
        <v>3535</v>
      </c>
      <c r="Y247" t="s">
        <v>3536</v>
      </c>
      <c r="Z247" t="s">
        <v>3537</v>
      </c>
      <c r="AA247" t="s">
        <v>3538</v>
      </c>
      <c r="AB247" t="s">
        <v>3539</v>
      </c>
      <c r="AC247" t="s">
        <v>74</v>
      </c>
      <c r="AD247" t="s">
        <v>74</v>
      </c>
      <c r="AE247" t="s">
        <v>74</v>
      </c>
      <c r="AF247" t="s">
        <v>74</v>
      </c>
      <c r="AG247">
        <v>43</v>
      </c>
      <c r="AH247">
        <v>8</v>
      </c>
      <c r="AI247">
        <v>11</v>
      </c>
      <c r="AJ247">
        <v>2</v>
      </c>
      <c r="AK247">
        <v>11</v>
      </c>
      <c r="AL247" t="s">
        <v>3521</v>
      </c>
      <c r="AM247" t="s">
        <v>967</v>
      </c>
      <c r="AN247" t="s">
        <v>3522</v>
      </c>
      <c r="AO247" t="s">
        <v>3540</v>
      </c>
      <c r="AP247" t="s">
        <v>3541</v>
      </c>
      <c r="AQ247" t="s">
        <v>74</v>
      </c>
      <c r="AR247" t="s">
        <v>3512</v>
      </c>
      <c r="AS247" t="s">
        <v>3524</v>
      </c>
      <c r="AT247" t="s">
        <v>74</v>
      </c>
      <c r="AU247">
        <v>1999</v>
      </c>
      <c r="AV247">
        <v>22</v>
      </c>
      <c r="AW247">
        <v>1</v>
      </c>
      <c r="AX247" t="s">
        <v>74</v>
      </c>
      <c r="AY247" t="s">
        <v>74</v>
      </c>
      <c r="AZ247" t="s">
        <v>74</v>
      </c>
      <c r="BA247" t="s">
        <v>74</v>
      </c>
      <c r="BB247">
        <v>80</v>
      </c>
      <c r="BC247">
        <v>89</v>
      </c>
      <c r="BD247" t="s">
        <v>74</v>
      </c>
      <c r="BE247" t="s">
        <v>3542</v>
      </c>
      <c r="BF247" t="str">
        <f>HYPERLINK("http://dx.doi.org/10.2307/1521996","http://dx.doi.org/10.2307/1521996")</f>
        <v>http://dx.doi.org/10.2307/1521996</v>
      </c>
      <c r="BG247" t="s">
        <v>74</v>
      </c>
      <c r="BH247" t="s">
        <v>74</v>
      </c>
      <c r="BI247">
        <v>10</v>
      </c>
      <c r="BJ247" t="s">
        <v>3526</v>
      </c>
      <c r="BK247" t="s">
        <v>95</v>
      </c>
      <c r="BL247" t="s">
        <v>117</v>
      </c>
      <c r="BM247" t="s">
        <v>3527</v>
      </c>
      <c r="BN247" t="s">
        <v>74</v>
      </c>
      <c r="BO247" t="s">
        <v>74</v>
      </c>
      <c r="BP247" t="s">
        <v>74</v>
      </c>
      <c r="BQ247" t="s">
        <v>74</v>
      </c>
      <c r="BR247" t="s">
        <v>98</v>
      </c>
      <c r="BS247" t="s">
        <v>3543</v>
      </c>
      <c r="BT247" t="str">
        <f>HYPERLINK("https%3A%2F%2Fwww.webofscience.com%2Fwos%2Fwoscc%2Ffull-record%2FWOS:000083508100010","View Full Record in Web of Science")</f>
        <v>View Full Record in Web of Science</v>
      </c>
    </row>
    <row r="248" spans="1:72" x14ac:dyDescent="0.15">
      <c r="A248" t="s">
        <v>72</v>
      </c>
      <c r="B248" t="s">
        <v>3544</v>
      </c>
      <c r="C248" t="s">
        <v>74</v>
      </c>
      <c r="D248" t="s">
        <v>74</v>
      </c>
      <c r="E248" t="s">
        <v>74</v>
      </c>
      <c r="F248" t="s">
        <v>3544</v>
      </c>
      <c r="G248" t="s">
        <v>74</v>
      </c>
      <c r="H248" t="s">
        <v>74</v>
      </c>
      <c r="I248" t="s">
        <v>3545</v>
      </c>
      <c r="J248" t="s">
        <v>3512</v>
      </c>
      <c r="K248" t="s">
        <v>74</v>
      </c>
      <c r="L248" t="s">
        <v>74</v>
      </c>
      <c r="M248" t="s">
        <v>77</v>
      </c>
      <c r="N248" t="s">
        <v>103</v>
      </c>
      <c r="O248" t="s">
        <v>74</v>
      </c>
      <c r="P248" t="s">
        <v>74</v>
      </c>
      <c r="Q248" t="s">
        <v>74</v>
      </c>
      <c r="R248" t="s">
        <v>74</v>
      </c>
      <c r="S248" t="s">
        <v>74</v>
      </c>
      <c r="T248" t="s">
        <v>3546</v>
      </c>
      <c r="U248" t="s">
        <v>3547</v>
      </c>
      <c r="V248" t="s">
        <v>3548</v>
      </c>
      <c r="W248" t="s">
        <v>3549</v>
      </c>
      <c r="X248" t="s">
        <v>3550</v>
      </c>
      <c r="Y248" t="s">
        <v>3551</v>
      </c>
      <c r="Z248" t="s">
        <v>74</v>
      </c>
      <c r="AA248" t="s">
        <v>74</v>
      </c>
      <c r="AB248" t="s">
        <v>74</v>
      </c>
      <c r="AC248" t="s">
        <v>74</v>
      </c>
      <c r="AD248" t="s">
        <v>74</v>
      </c>
      <c r="AE248" t="s">
        <v>74</v>
      </c>
      <c r="AF248" t="s">
        <v>74</v>
      </c>
      <c r="AG248">
        <v>20</v>
      </c>
      <c r="AH248">
        <v>21</v>
      </c>
      <c r="AI248">
        <v>26</v>
      </c>
      <c r="AJ248">
        <v>1</v>
      </c>
      <c r="AK248">
        <v>16</v>
      </c>
      <c r="AL248" t="s">
        <v>3521</v>
      </c>
      <c r="AM248" t="s">
        <v>967</v>
      </c>
      <c r="AN248" t="s">
        <v>3522</v>
      </c>
      <c r="AO248" t="s">
        <v>3523</v>
      </c>
      <c r="AP248" t="s">
        <v>74</v>
      </c>
      <c r="AQ248" t="s">
        <v>74</v>
      </c>
      <c r="AR248" t="s">
        <v>3512</v>
      </c>
      <c r="AS248" t="s">
        <v>3524</v>
      </c>
      <c r="AT248" t="s">
        <v>74</v>
      </c>
      <c r="AU248">
        <v>1999</v>
      </c>
      <c r="AV248">
        <v>22</v>
      </c>
      <c r="AW248">
        <v>3</v>
      </c>
      <c r="AX248" t="s">
        <v>74</v>
      </c>
      <c r="AY248" t="s">
        <v>74</v>
      </c>
      <c r="AZ248" t="s">
        <v>74</v>
      </c>
      <c r="BA248" t="s">
        <v>74</v>
      </c>
      <c r="BB248">
        <v>435</v>
      </c>
      <c r="BC248">
        <v>440</v>
      </c>
      <c r="BD248" t="s">
        <v>74</v>
      </c>
      <c r="BE248" t="s">
        <v>3552</v>
      </c>
      <c r="BF248" t="str">
        <f>HYPERLINK("http://dx.doi.org/10.2307/1522120","http://dx.doi.org/10.2307/1522120")</f>
        <v>http://dx.doi.org/10.2307/1522120</v>
      </c>
      <c r="BG248" t="s">
        <v>74</v>
      </c>
      <c r="BH248" t="s">
        <v>74</v>
      </c>
      <c r="BI248">
        <v>6</v>
      </c>
      <c r="BJ248" t="s">
        <v>3526</v>
      </c>
      <c r="BK248" t="s">
        <v>95</v>
      </c>
      <c r="BL248" t="s">
        <v>117</v>
      </c>
      <c r="BM248" t="s">
        <v>3553</v>
      </c>
      <c r="BN248" t="s">
        <v>74</v>
      </c>
      <c r="BO248" t="s">
        <v>74</v>
      </c>
      <c r="BP248" t="s">
        <v>74</v>
      </c>
      <c r="BQ248" t="s">
        <v>74</v>
      </c>
      <c r="BR248" t="s">
        <v>98</v>
      </c>
      <c r="BS248" t="s">
        <v>3554</v>
      </c>
      <c r="BT248" t="str">
        <f>HYPERLINK("https%3A%2F%2Fwww.webofscience.com%2Fwos%2Fwoscc%2Ffull-record%2FWOS:000085410700012","View Full Record in Web of Science")</f>
        <v>View Full Record in Web of Science</v>
      </c>
    </row>
    <row r="249" spans="1:72" x14ac:dyDescent="0.15">
      <c r="A249" t="s">
        <v>72</v>
      </c>
      <c r="B249" t="s">
        <v>3555</v>
      </c>
      <c r="C249" t="s">
        <v>74</v>
      </c>
      <c r="D249" t="s">
        <v>74</v>
      </c>
      <c r="E249" t="s">
        <v>74</v>
      </c>
      <c r="F249" t="s">
        <v>3555</v>
      </c>
      <c r="G249" t="s">
        <v>74</v>
      </c>
      <c r="H249" t="s">
        <v>74</v>
      </c>
      <c r="I249" t="s">
        <v>3556</v>
      </c>
      <c r="J249" t="s">
        <v>3557</v>
      </c>
      <c r="K249" t="s">
        <v>74</v>
      </c>
      <c r="L249" t="s">
        <v>74</v>
      </c>
      <c r="M249" t="s">
        <v>77</v>
      </c>
      <c r="N249" t="s">
        <v>103</v>
      </c>
      <c r="O249" t="s">
        <v>74</v>
      </c>
      <c r="P249" t="s">
        <v>74</v>
      </c>
      <c r="Q249" t="s">
        <v>74</v>
      </c>
      <c r="R249" t="s">
        <v>74</v>
      </c>
      <c r="S249" t="s">
        <v>74</v>
      </c>
      <c r="T249" t="s">
        <v>74</v>
      </c>
      <c r="U249" t="s">
        <v>3558</v>
      </c>
      <c r="V249" t="s">
        <v>3559</v>
      </c>
      <c r="W249" t="s">
        <v>3560</v>
      </c>
      <c r="X249" t="s">
        <v>3561</v>
      </c>
      <c r="Y249" t="s">
        <v>3562</v>
      </c>
      <c r="Z249" t="s">
        <v>74</v>
      </c>
      <c r="AA249" t="s">
        <v>3563</v>
      </c>
      <c r="AB249" t="s">
        <v>3564</v>
      </c>
      <c r="AC249" t="s">
        <v>74</v>
      </c>
      <c r="AD249" t="s">
        <v>74</v>
      </c>
      <c r="AE249" t="s">
        <v>74</v>
      </c>
      <c r="AF249" t="s">
        <v>74</v>
      </c>
      <c r="AG249">
        <v>36</v>
      </c>
      <c r="AH249">
        <v>54</v>
      </c>
      <c r="AI249">
        <v>56</v>
      </c>
      <c r="AJ249">
        <v>0</v>
      </c>
      <c r="AK249">
        <v>19</v>
      </c>
      <c r="AL249" t="s">
        <v>86</v>
      </c>
      <c r="AM249" t="s">
        <v>111</v>
      </c>
      <c r="AN249" t="s">
        <v>112</v>
      </c>
      <c r="AO249" t="s">
        <v>3565</v>
      </c>
      <c r="AP249" t="s">
        <v>3566</v>
      </c>
      <c r="AQ249" t="s">
        <v>74</v>
      </c>
      <c r="AR249" t="s">
        <v>3567</v>
      </c>
      <c r="AS249" t="s">
        <v>3568</v>
      </c>
      <c r="AT249" t="s">
        <v>74</v>
      </c>
      <c r="AU249">
        <v>1999</v>
      </c>
      <c r="AV249">
        <v>26</v>
      </c>
      <c r="AW249">
        <v>1</v>
      </c>
      <c r="AX249" t="s">
        <v>74</v>
      </c>
      <c r="AY249" t="s">
        <v>74</v>
      </c>
      <c r="AZ249" t="s">
        <v>74</v>
      </c>
      <c r="BA249" t="s">
        <v>74</v>
      </c>
      <c r="BB249">
        <v>35</v>
      </c>
      <c r="BC249">
        <v>52</v>
      </c>
      <c r="BD249" t="s">
        <v>74</v>
      </c>
      <c r="BE249" t="s">
        <v>3569</v>
      </c>
      <c r="BF249" t="str">
        <f>HYPERLINK("http://dx.doi.org/10.1071/WR98022","http://dx.doi.org/10.1071/WR98022")</f>
        <v>http://dx.doi.org/10.1071/WR98022</v>
      </c>
      <c r="BG249" t="s">
        <v>74</v>
      </c>
      <c r="BH249" t="s">
        <v>74</v>
      </c>
      <c r="BI249">
        <v>18</v>
      </c>
      <c r="BJ249" t="s">
        <v>1332</v>
      </c>
      <c r="BK249" t="s">
        <v>95</v>
      </c>
      <c r="BL249" t="s">
        <v>1333</v>
      </c>
      <c r="BM249" t="s">
        <v>3570</v>
      </c>
      <c r="BN249" t="s">
        <v>74</v>
      </c>
      <c r="BO249" t="s">
        <v>74</v>
      </c>
      <c r="BP249" t="s">
        <v>74</v>
      </c>
      <c r="BQ249" t="s">
        <v>74</v>
      </c>
      <c r="BR249" t="s">
        <v>98</v>
      </c>
      <c r="BS249" t="s">
        <v>3571</v>
      </c>
      <c r="BT249" t="str">
        <f>HYPERLINK("https%3A%2F%2Fwww.webofscience.com%2Fwos%2Fwoscc%2Ffull-record%2FWOS:000079402400003","View Full Record in Web of Science")</f>
        <v>View Full Record in Web of Science</v>
      </c>
    </row>
    <row r="250" spans="1:72" x14ac:dyDescent="0.15">
      <c r="A250" t="s">
        <v>72</v>
      </c>
      <c r="B250" t="s">
        <v>3572</v>
      </c>
      <c r="C250" t="s">
        <v>74</v>
      </c>
      <c r="D250" t="s">
        <v>74</v>
      </c>
      <c r="E250" t="s">
        <v>74</v>
      </c>
      <c r="F250" t="s">
        <v>3572</v>
      </c>
      <c r="G250" t="s">
        <v>74</v>
      </c>
      <c r="H250" t="s">
        <v>74</v>
      </c>
      <c r="I250" t="s">
        <v>3573</v>
      </c>
      <c r="J250" t="s">
        <v>3557</v>
      </c>
      <c r="K250" t="s">
        <v>74</v>
      </c>
      <c r="L250" t="s">
        <v>74</v>
      </c>
      <c r="M250" t="s">
        <v>77</v>
      </c>
      <c r="N250" t="s">
        <v>103</v>
      </c>
      <c r="O250" t="s">
        <v>74</v>
      </c>
      <c r="P250" t="s">
        <v>74</v>
      </c>
      <c r="Q250" t="s">
        <v>74</v>
      </c>
      <c r="R250" t="s">
        <v>74</v>
      </c>
      <c r="S250" t="s">
        <v>74</v>
      </c>
      <c r="T250" t="s">
        <v>74</v>
      </c>
      <c r="U250" t="s">
        <v>3574</v>
      </c>
      <c r="V250" t="s">
        <v>3575</v>
      </c>
      <c r="W250" t="s">
        <v>3576</v>
      </c>
      <c r="X250" t="s">
        <v>3577</v>
      </c>
      <c r="Y250" t="s">
        <v>3578</v>
      </c>
      <c r="Z250" t="s">
        <v>74</v>
      </c>
      <c r="AA250" t="s">
        <v>3579</v>
      </c>
      <c r="AB250" t="s">
        <v>3580</v>
      </c>
      <c r="AC250" t="s">
        <v>74</v>
      </c>
      <c r="AD250" t="s">
        <v>74</v>
      </c>
      <c r="AE250" t="s">
        <v>74</v>
      </c>
      <c r="AF250" t="s">
        <v>74</v>
      </c>
      <c r="AG250">
        <v>32</v>
      </c>
      <c r="AH250">
        <v>45</v>
      </c>
      <c r="AI250">
        <v>50</v>
      </c>
      <c r="AJ250">
        <v>0</v>
      </c>
      <c r="AK250">
        <v>21</v>
      </c>
      <c r="AL250" t="s">
        <v>110</v>
      </c>
      <c r="AM250" t="s">
        <v>111</v>
      </c>
      <c r="AN250" t="s">
        <v>112</v>
      </c>
      <c r="AO250" t="s">
        <v>3565</v>
      </c>
      <c r="AP250" t="s">
        <v>74</v>
      </c>
      <c r="AQ250" t="s">
        <v>74</v>
      </c>
      <c r="AR250" t="s">
        <v>3567</v>
      </c>
      <c r="AS250" t="s">
        <v>3568</v>
      </c>
      <c r="AT250" t="s">
        <v>74</v>
      </c>
      <c r="AU250">
        <v>1999</v>
      </c>
      <c r="AV250">
        <v>26</v>
      </c>
      <c r="AW250">
        <v>6</v>
      </c>
      <c r="AX250" t="s">
        <v>74</v>
      </c>
      <c r="AY250" t="s">
        <v>74</v>
      </c>
      <c r="AZ250" t="s">
        <v>74</v>
      </c>
      <c r="BA250" t="s">
        <v>74</v>
      </c>
      <c r="BB250">
        <v>839</v>
      </c>
      <c r="BC250">
        <v>846</v>
      </c>
      <c r="BD250" t="s">
        <v>74</v>
      </c>
      <c r="BE250" t="s">
        <v>3581</v>
      </c>
      <c r="BF250" t="str">
        <f>HYPERLINK("http://dx.doi.org/10.1071/WR98079","http://dx.doi.org/10.1071/WR98079")</f>
        <v>http://dx.doi.org/10.1071/WR98079</v>
      </c>
      <c r="BG250" t="s">
        <v>74</v>
      </c>
      <c r="BH250" t="s">
        <v>74</v>
      </c>
      <c r="BI250">
        <v>8</v>
      </c>
      <c r="BJ250" t="s">
        <v>1332</v>
      </c>
      <c r="BK250" t="s">
        <v>95</v>
      </c>
      <c r="BL250" t="s">
        <v>1333</v>
      </c>
      <c r="BM250" t="s">
        <v>3582</v>
      </c>
      <c r="BN250" t="s">
        <v>74</v>
      </c>
      <c r="BO250" t="s">
        <v>74</v>
      </c>
      <c r="BP250" t="s">
        <v>74</v>
      </c>
      <c r="BQ250" t="s">
        <v>74</v>
      </c>
      <c r="BR250" t="s">
        <v>98</v>
      </c>
      <c r="BS250" t="s">
        <v>3583</v>
      </c>
      <c r="BT250" t="str">
        <f>HYPERLINK("https%3A%2F%2Fwww.webofscience.com%2Fwos%2Fwoscc%2Ffull-record%2FWOS:000082576600011","View Full Record in Web of Science")</f>
        <v>View Full Record in Web of Science</v>
      </c>
    </row>
    <row r="251" spans="1:72" x14ac:dyDescent="0.15">
      <c r="A251" t="s">
        <v>72</v>
      </c>
      <c r="B251" t="s">
        <v>3584</v>
      </c>
      <c r="C251" t="s">
        <v>74</v>
      </c>
      <c r="D251" t="s">
        <v>74</v>
      </c>
      <c r="E251" t="s">
        <v>74</v>
      </c>
      <c r="F251" t="s">
        <v>3584</v>
      </c>
      <c r="G251" t="s">
        <v>74</v>
      </c>
      <c r="H251" t="s">
        <v>74</v>
      </c>
      <c r="I251" t="s">
        <v>3585</v>
      </c>
      <c r="J251" t="s">
        <v>3586</v>
      </c>
      <c r="K251" t="s">
        <v>74</v>
      </c>
      <c r="L251" t="s">
        <v>74</v>
      </c>
      <c r="M251" t="s">
        <v>77</v>
      </c>
      <c r="N251" t="s">
        <v>123</v>
      </c>
      <c r="O251" t="s">
        <v>3587</v>
      </c>
      <c r="P251" t="s">
        <v>3588</v>
      </c>
      <c r="Q251" t="s">
        <v>3084</v>
      </c>
      <c r="R251" t="s">
        <v>74</v>
      </c>
      <c r="S251" t="s">
        <v>74</v>
      </c>
      <c r="T251" t="s">
        <v>3589</v>
      </c>
      <c r="U251" t="s">
        <v>3590</v>
      </c>
      <c r="V251" t="s">
        <v>3591</v>
      </c>
      <c r="W251" t="s">
        <v>3592</v>
      </c>
      <c r="X251" t="s">
        <v>3593</v>
      </c>
      <c r="Y251" t="s">
        <v>3594</v>
      </c>
      <c r="Z251" t="s">
        <v>74</v>
      </c>
      <c r="AA251" t="s">
        <v>3595</v>
      </c>
      <c r="AB251" t="s">
        <v>3596</v>
      </c>
      <c r="AC251" t="s">
        <v>74</v>
      </c>
      <c r="AD251" t="s">
        <v>74</v>
      </c>
      <c r="AE251" t="s">
        <v>74</v>
      </c>
      <c r="AF251" t="s">
        <v>74</v>
      </c>
      <c r="AG251">
        <v>33</v>
      </c>
      <c r="AH251">
        <v>115</v>
      </c>
      <c r="AI251">
        <v>120</v>
      </c>
      <c r="AJ251">
        <v>1</v>
      </c>
      <c r="AK251">
        <v>35</v>
      </c>
      <c r="AL251" t="s">
        <v>1037</v>
      </c>
      <c r="AM251" t="s">
        <v>1038</v>
      </c>
      <c r="AN251" t="s">
        <v>1039</v>
      </c>
      <c r="AO251" t="s">
        <v>3597</v>
      </c>
      <c r="AP251" t="s">
        <v>74</v>
      </c>
      <c r="AQ251" t="s">
        <v>74</v>
      </c>
      <c r="AR251" t="s">
        <v>3598</v>
      </c>
      <c r="AS251" t="s">
        <v>3599</v>
      </c>
      <c r="AT251" t="s">
        <v>3600</v>
      </c>
      <c r="AU251">
        <v>1998</v>
      </c>
      <c r="AV251">
        <v>377</v>
      </c>
      <c r="AW251" t="s">
        <v>1086</v>
      </c>
      <c r="AX251" t="s">
        <v>74</v>
      </c>
      <c r="AY251" t="s">
        <v>74</v>
      </c>
      <c r="AZ251" t="s">
        <v>74</v>
      </c>
      <c r="BA251" t="s">
        <v>74</v>
      </c>
      <c r="BB251">
        <v>113</v>
      </c>
      <c r="BC251">
        <v>124</v>
      </c>
      <c r="BD251" t="s">
        <v>74</v>
      </c>
      <c r="BE251" t="s">
        <v>3601</v>
      </c>
      <c r="BF251" t="str">
        <f>HYPERLINK("http://dx.doi.org/10.1016/S0003-2670(98)00427-9","http://dx.doi.org/10.1016/S0003-2670(98)00427-9")</f>
        <v>http://dx.doi.org/10.1016/S0003-2670(98)00427-9</v>
      </c>
      <c r="BG251" t="s">
        <v>74</v>
      </c>
      <c r="BH251" t="s">
        <v>74</v>
      </c>
      <c r="BI251">
        <v>12</v>
      </c>
      <c r="BJ251" t="s">
        <v>3602</v>
      </c>
      <c r="BK251" t="s">
        <v>235</v>
      </c>
      <c r="BL251" t="s">
        <v>1284</v>
      </c>
      <c r="BM251" t="s">
        <v>3603</v>
      </c>
      <c r="BN251" t="s">
        <v>74</v>
      </c>
      <c r="BO251" t="s">
        <v>1005</v>
      </c>
      <c r="BP251" t="s">
        <v>74</v>
      </c>
      <c r="BQ251" t="s">
        <v>74</v>
      </c>
      <c r="BR251" t="s">
        <v>98</v>
      </c>
      <c r="BS251" t="s">
        <v>3604</v>
      </c>
      <c r="BT251" t="str">
        <f>HYPERLINK("https%3A%2F%2Fwww.webofscience.com%2Fwos%2Fwoscc%2Ffull-record%2FWOS:000077619200002","View Full Record in Web of Science")</f>
        <v>View Full Record in Web of Science</v>
      </c>
    </row>
    <row r="252" spans="1:72" x14ac:dyDescent="0.15">
      <c r="A252" t="s">
        <v>72</v>
      </c>
      <c r="B252" t="s">
        <v>3605</v>
      </c>
      <c r="C252" t="s">
        <v>74</v>
      </c>
      <c r="D252" t="s">
        <v>74</v>
      </c>
      <c r="E252" t="s">
        <v>74</v>
      </c>
      <c r="F252" t="s">
        <v>3605</v>
      </c>
      <c r="G252" t="s">
        <v>74</v>
      </c>
      <c r="H252" t="s">
        <v>74</v>
      </c>
      <c r="I252" t="s">
        <v>3606</v>
      </c>
      <c r="J252" t="s">
        <v>3607</v>
      </c>
      <c r="K252" t="s">
        <v>74</v>
      </c>
      <c r="L252" t="s">
        <v>74</v>
      </c>
      <c r="M252" t="s">
        <v>77</v>
      </c>
      <c r="N252" t="s">
        <v>103</v>
      </c>
      <c r="O252" t="s">
        <v>74</v>
      </c>
      <c r="P252" t="s">
        <v>74</v>
      </c>
      <c r="Q252" t="s">
        <v>74</v>
      </c>
      <c r="R252" t="s">
        <v>74</v>
      </c>
      <c r="S252" t="s">
        <v>74</v>
      </c>
      <c r="T252" t="s">
        <v>3608</v>
      </c>
      <c r="U252" t="s">
        <v>3609</v>
      </c>
      <c r="V252" t="s">
        <v>3610</v>
      </c>
      <c r="W252" t="s">
        <v>3611</v>
      </c>
      <c r="X252" t="s">
        <v>509</v>
      </c>
      <c r="Y252" t="s">
        <v>3612</v>
      </c>
      <c r="Z252" t="s">
        <v>3613</v>
      </c>
      <c r="AA252" t="s">
        <v>74</v>
      </c>
      <c r="AB252" t="s">
        <v>3614</v>
      </c>
      <c r="AC252" t="s">
        <v>74</v>
      </c>
      <c r="AD252" t="s">
        <v>74</v>
      </c>
      <c r="AE252" t="s">
        <v>74</v>
      </c>
      <c r="AF252" t="s">
        <v>74</v>
      </c>
      <c r="AG252">
        <v>49</v>
      </c>
      <c r="AH252">
        <v>38</v>
      </c>
      <c r="AI252">
        <v>73</v>
      </c>
      <c r="AJ252">
        <v>0</v>
      </c>
      <c r="AK252">
        <v>13</v>
      </c>
      <c r="AL252" t="s">
        <v>1037</v>
      </c>
      <c r="AM252" t="s">
        <v>1038</v>
      </c>
      <c r="AN252" t="s">
        <v>1039</v>
      </c>
      <c r="AO252" t="s">
        <v>3615</v>
      </c>
      <c r="AP252" t="s">
        <v>74</v>
      </c>
      <c r="AQ252" t="s">
        <v>74</v>
      </c>
      <c r="AR252" t="s">
        <v>3616</v>
      </c>
      <c r="AS252" t="s">
        <v>3617</v>
      </c>
      <c r="AT252" t="s">
        <v>3600</v>
      </c>
      <c r="AU252">
        <v>1998</v>
      </c>
      <c r="AV252">
        <v>231</v>
      </c>
      <c r="AW252">
        <v>2</v>
      </c>
      <c r="AX252" t="s">
        <v>74</v>
      </c>
      <c r="AY252" t="s">
        <v>74</v>
      </c>
      <c r="AZ252" t="s">
        <v>74</v>
      </c>
      <c r="BA252" t="s">
        <v>74</v>
      </c>
      <c r="BB252">
        <v>191</v>
      </c>
      <c r="BC252">
        <v>200</v>
      </c>
      <c r="BD252" t="s">
        <v>74</v>
      </c>
      <c r="BE252" t="s">
        <v>3618</v>
      </c>
      <c r="BF252" t="str">
        <f>HYPERLINK("http://dx.doi.org/10.1016/S0022-0981(98)00060-4","http://dx.doi.org/10.1016/S0022-0981(98)00060-4")</f>
        <v>http://dx.doi.org/10.1016/S0022-0981(98)00060-4</v>
      </c>
      <c r="BG252" t="s">
        <v>74</v>
      </c>
      <c r="BH252" t="s">
        <v>74</v>
      </c>
      <c r="BI252">
        <v>10</v>
      </c>
      <c r="BJ252" t="s">
        <v>3619</v>
      </c>
      <c r="BK252" t="s">
        <v>95</v>
      </c>
      <c r="BL252" t="s">
        <v>2191</v>
      </c>
      <c r="BM252" t="s">
        <v>3620</v>
      </c>
      <c r="BN252" t="s">
        <v>74</v>
      </c>
      <c r="BO252" t="s">
        <v>1005</v>
      </c>
      <c r="BP252" t="s">
        <v>74</v>
      </c>
      <c r="BQ252" t="s">
        <v>74</v>
      </c>
      <c r="BR252" t="s">
        <v>98</v>
      </c>
      <c r="BS252" t="s">
        <v>3621</v>
      </c>
      <c r="BT252" t="str">
        <f>HYPERLINK("https%3A%2F%2Fwww.webofscience.com%2Fwos%2Fwoscc%2Ffull-record%2FWOS:000077971400003","View Full Record in Web of Science")</f>
        <v>View Full Record in Web of Science</v>
      </c>
    </row>
    <row r="253" spans="1:72" x14ac:dyDescent="0.15">
      <c r="A253" t="s">
        <v>72</v>
      </c>
      <c r="B253" t="s">
        <v>3622</v>
      </c>
      <c r="C253" t="s">
        <v>74</v>
      </c>
      <c r="D253" t="s">
        <v>74</v>
      </c>
      <c r="E253" t="s">
        <v>74</v>
      </c>
      <c r="F253" t="s">
        <v>3622</v>
      </c>
      <c r="G253" t="s">
        <v>74</v>
      </c>
      <c r="H253" t="s">
        <v>74</v>
      </c>
      <c r="I253" t="s">
        <v>3623</v>
      </c>
      <c r="J253" t="s">
        <v>3624</v>
      </c>
      <c r="K253" t="s">
        <v>74</v>
      </c>
      <c r="L253" t="s">
        <v>74</v>
      </c>
      <c r="M253" t="s">
        <v>77</v>
      </c>
      <c r="N253" t="s">
        <v>103</v>
      </c>
      <c r="O253" t="s">
        <v>74</v>
      </c>
      <c r="P253" t="s">
        <v>74</v>
      </c>
      <c r="Q253" t="s">
        <v>74</v>
      </c>
      <c r="R253" t="s">
        <v>74</v>
      </c>
      <c r="S253" t="s">
        <v>74</v>
      </c>
      <c r="T253" t="s">
        <v>3625</v>
      </c>
      <c r="U253" t="s">
        <v>3626</v>
      </c>
      <c r="V253" t="s">
        <v>3627</v>
      </c>
      <c r="W253" t="s">
        <v>3300</v>
      </c>
      <c r="X253" t="s">
        <v>3301</v>
      </c>
      <c r="Y253" t="s">
        <v>3628</v>
      </c>
      <c r="Z253" t="s">
        <v>74</v>
      </c>
      <c r="AA253" t="s">
        <v>74</v>
      </c>
      <c r="AB253" t="s">
        <v>3629</v>
      </c>
      <c r="AC253" t="s">
        <v>74</v>
      </c>
      <c r="AD253" t="s">
        <v>74</v>
      </c>
      <c r="AE253" t="s">
        <v>74</v>
      </c>
      <c r="AF253" t="s">
        <v>74</v>
      </c>
      <c r="AG253">
        <v>29</v>
      </c>
      <c r="AH253">
        <v>2</v>
      </c>
      <c r="AI253">
        <v>2</v>
      </c>
      <c r="AJ253">
        <v>0</v>
      </c>
      <c r="AK253">
        <v>2</v>
      </c>
      <c r="AL253" t="s">
        <v>1037</v>
      </c>
      <c r="AM253" t="s">
        <v>1038</v>
      </c>
      <c r="AN253" t="s">
        <v>1039</v>
      </c>
      <c r="AO253" t="s">
        <v>3630</v>
      </c>
      <c r="AP253" t="s">
        <v>74</v>
      </c>
      <c r="AQ253" t="s">
        <v>74</v>
      </c>
      <c r="AR253" t="s">
        <v>3631</v>
      </c>
      <c r="AS253" t="s">
        <v>3632</v>
      </c>
      <c r="AT253" t="s">
        <v>3633</v>
      </c>
      <c r="AU253">
        <v>1998</v>
      </c>
      <c r="AV253">
        <v>164</v>
      </c>
      <c r="AW253" t="s">
        <v>1282</v>
      </c>
      <c r="AX253" t="s">
        <v>74</v>
      </c>
      <c r="AY253" t="s">
        <v>74</v>
      </c>
      <c r="AZ253" t="s">
        <v>74</v>
      </c>
      <c r="BA253" t="s">
        <v>74</v>
      </c>
      <c r="BB253">
        <v>511</v>
      </c>
      <c r="BC253">
        <v>519</v>
      </c>
      <c r="BD253" t="s">
        <v>74</v>
      </c>
      <c r="BE253" t="s">
        <v>3634</v>
      </c>
      <c r="BF253" t="str">
        <f>HYPERLINK("http://dx.doi.org/10.1016/S0012-821X(98)00242-8","http://dx.doi.org/10.1016/S0012-821X(98)00242-8")</f>
        <v>http://dx.doi.org/10.1016/S0012-821X(98)00242-8</v>
      </c>
      <c r="BG253" t="s">
        <v>74</v>
      </c>
      <c r="BH253" t="s">
        <v>74</v>
      </c>
      <c r="BI253">
        <v>9</v>
      </c>
      <c r="BJ253" t="s">
        <v>303</v>
      </c>
      <c r="BK253" t="s">
        <v>95</v>
      </c>
      <c r="BL253" t="s">
        <v>303</v>
      </c>
      <c r="BM253" t="s">
        <v>3635</v>
      </c>
      <c r="BN253" t="s">
        <v>74</v>
      </c>
      <c r="BO253" t="s">
        <v>74</v>
      </c>
      <c r="BP253" t="s">
        <v>74</v>
      </c>
      <c r="BQ253" t="s">
        <v>74</v>
      </c>
      <c r="BR253" t="s">
        <v>98</v>
      </c>
      <c r="BS253" t="s">
        <v>3636</v>
      </c>
      <c r="BT253" t="str">
        <f>HYPERLINK("https%3A%2F%2Fwww.webofscience.com%2Fwos%2Fwoscc%2Ffull-record%2FWOS:000077847800008","View Full Record in Web of Science")</f>
        <v>View Full Record in Web of Science</v>
      </c>
    </row>
    <row r="254" spans="1:72" x14ac:dyDescent="0.15">
      <c r="A254" t="s">
        <v>72</v>
      </c>
      <c r="B254" t="s">
        <v>3637</v>
      </c>
      <c r="C254" t="s">
        <v>74</v>
      </c>
      <c r="D254" t="s">
        <v>74</v>
      </c>
      <c r="E254" t="s">
        <v>74</v>
      </c>
      <c r="F254" t="s">
        <v>3637</v>
      </c>
      <c r="G254" t="s">
        <v>74</v>
      </c>
      <c r="H254" t="s">
        <v>74</v>
      </c>
      <c r="I254" t="s">
        <v>3638</v>
      </c>
      <c r="J254" t="s">
        <v>3639</v>
      </c>
      <c r="K254" t="s">
        <v>74</v>
      </c>
      <c r="L254" t="s">
        <v>74</v>
      </c>
      <c r="M254" t="s">
        <v>77</v>
      </c>
      <c r="N254" t="s">
        <v>103</v>
      </c>
      <c r="O254" t="s">
        <v>74</v>
      </c>
      <c r="P254" t="s">
        <v>74</v>
      </c>
      <c r="Q254" t="s">
        <v>74</v>
      </c>
      <c r="R254" t="s">
        <v>74</v>
      </c>
      <c r="S254" t="s">
        <v>74</v>
      </c>
      <c r="T254" t="s">
        <v>74</v>
      </c>
      <c r="U254" t="s">
        <v>3640</v>
      </c>
      <c r="V254" t="s">
        <v>3641</v>
      </c>
      <c r="W254" t="s">
        <v>3642</v>
      </c>
      <c r="X254" t="s">
        <v>3643</v>
      </c>
      <c r="Y254" t="s">
        <v>3644</v>
      </c>
      <c r="Z254" t="s">
        <v>74</v>
      </c>
      <c r="AA254" t="s">
        <v>3645</v>
      </c>
      <c r="AB254" t="s">
        <v>74</v>
      </c>
      <c r="AC254" t="s">
        <v>74</v>
      </c>
      <c r="AD254" t="s">
        <v>74</v>
      </c>
      <c r="AE254" t="s">
        <v>74</v>
      </c>
      <c r="AF254" t="s">
        <v>74</v>
      </c>
      <c r="AG254">
        <v>40</v>
      </c>
      <c r="AH254">
        <v>40</v>
      </c>
      <c r="AI254">
        <v>45</v>
      </c>
      <c r="AJ254">
        <v>1</v>
      </c>
      <c r="AK254">
        <v>11</v>
      </c>
      <c r="AL254" t="s">
        <v>3646</v>
      </c>
      <c r="AM254" t="s">
        <v>3647</v>
      </c>
      <c r="AN254" t="s">
        <v>3648</v>
      </c>
      <c r="AO254" t="s">
        <v>3649</v>
      </c>
      <c r="AP254" t="s">
        <v>74</v>
      </c>
      <c r="AQ254" t="s">
        <v>74</v>
      </c>
      <c r="AR254" t="s">
        <v>3650</v>
      </c>
      <c r="AS254" t="s">
        <v>3651</v>
      </c>
      <c r="AT254" t="s">
        <v>3652</v>
      </c>
      <c r="AU254">
        <v>1998</v>
      </c>
      <c r="AV254">
        <v>109</v>
      </c>
      <c r="AW254">
        <v>24</v>
      </c>
      <c r="AX254" t="s">
        <v>74</v>
      </c>
      <c r="AY254" t="s">
        <v>74</v>
      </c>
      <c r="AZ254" t="s">
        <v>74</v>
      </c>
      <c r="BA254" t="s">
        <v>74</v>
      </c>
      <c r="BB254">
        <v>10847</v>
      </c>
      <c r="BC254">
        <v>10852</v>
      </c>
      <c r="BD254" t="s">
        <v>74</v>
      </c>
      <c r="BE254" t="s">
        <v>3653</v>
      </c>
      <c r="BF254" t="str">
        <f>HYPERLINK("http://dx.doi.org/10.1063/1.477781","http://dx.doi.org/10.1063/1.477781")</f>
        <v>http://dx.doi.org/10.1063/1.477781</v>
      </c>
      <c r="BG254" t="s">
        <v>74</v>
      </c>
      <c r="BH254" t="s">
        <v>74</v>
      </c>
      <c r="BI254">
        <v>6</v>
      </c>
      <c r="BJ254" t="s">
        <v>3654</v>
      </c>
      <c r="BK254" t="s">
        <v>95</v>
      </c>
      <c r="BL254" t="s">
        <v>3655</v>
      </c>
      <c r="BM254" t="s">
        <v>3656</v>
      </c>
      <c r="BN254" t="s">
        <v>74</v>
      </c>
      <c r="BO254" t="s">
        <v>74</v>
      </c>
      <c r="BP254" t="s">
        <v>74</v>
      </c>
      <c r="BQ254" t="s">
        <v>74</v>
      </c>
      <c r="BR254" t="s">
        <v>98</v>
      </c>
      <c r="BS254" t="s">
        <v>3657</v>
      </c>
      <c r="BT254" t="str">
        <f>HYPERLINK("https%3A%2F%2Fwww.webofscience.com%2Fwos%2Fwoscc%2Ffull-record%2FWOS:000077542400032","View Full Record in Web of Science")</f>
        <v>View Full Record in Web of Science</v>
      </c>
    </row>
    <row r="255" spans="1:72" x14ac:dyDescent="0.15">
      <c r="A255" t="s">
        <v>72</v>
      </c>
      <c r="B255" t="s">
        <v>3658</v>
      </c>
      <c r="C255" t="s">
        <v>74</v>
      </c>
      <c r="D255" t="s">
        <v>74</v>
      </c>
      <c r="E255" t="s">
        <v>74</v>
      </c>
      <c r="F255" t="s">
        <v>3658</v>
      </c>
      <c r="G255" t="s">
        <v>74</v>
      </c>
      <c r="H255" t="s">
        <v>74</v>
      </c>
      <c r="I255" t="s">
        <v>3659</v>
      </c>
      <c r="J255" t="s">
        <v>3660</v>
      </c>
      <c r="K255" t="s">
        <v>74</v>
      </c>
      <c r="L255" t="s">
        <v>74</v>
      </c>
      <c r="M255" t="s">
        <v>77</v>
      </c>
      <c r="N255" t="s">
        <v>103</v>
      </c>
      <c r="O255" t="s">
        <v>74</v>
      </c>
      <c r="P255" t="s">
        <v>74</v>
      </c>
      <c r="Q255" t="s">
        <v>74</v>
      </c>
      <c r="R255" t="s">
        <v>74</v>
      </c>
      <c r="S255" t="s">
        <v>74</v>
      </c>
      <c r="T255" t="s">
        <v>3661</v>
      </c>
      <c r="U255" t="s">
        <v>3662</v>
      </c>
      <c r="V255" t="s">
        <v>3663</v>
      </c>
      <c r="W255" t="s">
        <v>3664</v>
      </c>
      <c r="X255" t="s">
        <v>3665</v>
      </c>
      <c r="Y255" t="s">
        <v>3666</v>
      </c>
      <c r="Z255" t="s">
        <v>3667</v>
      </c>
      <c r="AA255" t="s">
        <v>3668</v>
      </c>
      <c r="AB255" t="s">
        <v>3669</v>
      </c>
      <c r="AC255" t="s">
        <v>74</v>
      </c>
      <c r="AD255" t="s">
        <v>74</v>
      </c>
      <c r="AE255" t="s">
        <v>74</v>
      </c>
      <c r="AF255" t="s">
        <v>74</v>
      </c>
      <c r="AG255">
        <v>34</v>
      </c>
      <c r="AH255">
        <v>75</v>
      </c>
      <c r="AI255">
        <v>80</v>
      </c>
      <c r="AJ255">
        <v>0</v>
      </c>
      <c r="AK255">
        <v>21</v>
      </c>
      <c r="AL255" t="s">
        <v>3670</v>
      </c>
      <c r="AM255" t="s">
        <v>1121</v>
      </c>
      <c r="AN255" t="s">
        <v>3671</v>
      </c>
      <c r="AO255" t="s">
        <v>3672</v>
      </c>
      <c r="AP255" t="s">
        <v>74</v>
      </c>
      <c r="AQ255" t="s">
        <v>74</v>
      </c>
      <c r="AR255" t="s">
        <v>3673</v>
      </c>
      <c r="AS255" t="s">
        <v>3674</v>
      </c>
      <c r="AT255" t="s">
        <v>3652</v>
      </c>
      <c r="AU255">
        <v>1998</v>
      </c>
      <c r="AV255">
        <v>265</v>
      </c>
      <c r="AW255">
        <v>1413</v>
      </c>
      <c r="AX255" t="s">
        <v>74</v>
      </c>
      <c r="AY255" t="s">
        <v>74</v>
      </c>
      <c r="AZ255" t="s">
        <v>74</v>
      </c>
      <c r="BA255" t="s">
        <v>74</v>
      </c>
      <c r="BB255">
        <v>2387</v>
      </c>
      <c r="BC255">
        <v>2391</v>
      </c>
      <c r="BD255" t="s">
        <v>74</v>
      </c>
      <c r="BE255" t="s">
        <v>3675</v>
      </c>
      <c r="BF255" t="str">
        <f>HYPERLINK("http://dx.doi.org/10.1098/rspb.1998.0588","http://dx.doi.org/10.1098/rspb.1998.0588")</f>
        <v>http://dx.doi.org/10.1098/rspb.1998.0588</v>
      </c>
      <c r="BG255" t="s">
        <v>74</v>
      </c>
      <c r="BH255" t="s">
        <v>74</v>
      </c>
      <c r="BI255">
        <v>5</v>
      </c>
      <c r="BJ255" t="s">
        <v>3676</v>
      </c>
      <c r="BK255" t="s">
        <v>95</v>
      </c>
      <c r="BL255" t="s">
        <v>3677</v>
      </c>
      <c r="BM255" t="s">
        <v>3678</v>
      </c>
      <c r="BN255">
        <v>9921678</v>
      </c>
      <c r="BO255" t="s">
        <v>1005</v>
      </c>
      <c r="BP255" t="s">
        <v>74</v>
      </c>
      <c r="BQ255" t="s">
        <v>74</v>
      </c>
      <c r="BR255" t="s">
        <v>98</v>
      </c>
      <c r="BS255" t="s">
        <v>3679</v>
      </c>
      <c r="BT255" t="str">
        <f>HYPERLINK("https%3A%2F%2Fwww.webofscience.com%2Fwos%2Fwoscc%2Ffull-record%2FWOS:000077911400007","View Full Record in Web of Science")</f>
        <v>View Full Record in Web of Science</v>
      </c>
    </row>
    <row r="256" spans="1:72" x14ac:dyDescent="0.15">
      <c r="A256" t="s">
        <v>72</v>
      </c>
      <c r="B256" t="s">
        <v>3680</v>
      </c>
      <c r="C256" t="s">
        <v>74</v>
      </c>
      <c r="D256" t="s">
        <v>74</v>
      </c>
      <c r="E256" t="s">
        <v>74</v>
      </c>
      <c r="F256" t="s">
        <v>3680</v>
      </c>
      <c r="G256" t="s">
        <v>74</v>
      </c>
      <c r="H256" t="s">
        <v>74</v>
      </c>
      <c r="I256" t="s">
        <v>3681</v>
      </c>
      <c r="J256" t="s">
        <v>3682</v>
      </c>
      <c r="K256" t="s">
        <v>74</v>
      </c>
      <c r="L256" t="s">
        <v>74</v>
      </c>
      <c r="M256" t="s">
        <v>77</v>
      </c>
      <c r="N256" t="s">
        <v>123</v>
      </c>
      <c r="O256" t="s">
        <v>3683</v>
      </c>
      <c r="P256" t="s">
        <v>3684</v>
      </c>
      <c r="Q256" t="s">
        <v>3685</v>
      </c>
      <c r="R256" t="s">
        <v>74</v>
      </c>
      <c r="S256" t="s">
        <v>74</v>
      </c>
      <c r="T256" t="s">
        <v>3686</v>
      </c>
      <c r="U256" t="s">
        <v>3687</v>
      </c>
      <c r="V256" t="s">
        <v>3688</v>
      </c>
      <c r="W256" t="s">
        <v>3689</v>
      </c>
      <c r="X256" t="s">
        <v>3690</v>
      </c>
      <c r="Y256" t="s">
        <v>3691</v>
      </c>
      <c r="Z256" t="s">
        <v>3692</v>
      </c>
      <c r="AA256" t="s">
        <v>3693</v>
      </c>
      <c r="AB256" t="s">
        <v>3694</v>
      </c>
      <c r="AC256" t="s">
        <v>74</v>
      </c>
      <c r="AD256" t="s">
        <v>74</v>
      </c>
      <c r="AE256" t="s">
        <v>74</v>
      </c>
      <c r="AF256" t="s">
        <v>74</v>
      </c>
      <c r="AG256">
        <v>55</v>
      </c>
      <c r="AH256">
        <v>31</v>
      </c>
      <c r="AI256">
        <v>33</v>
      </c>
      <c r="AJ256">
        <v>0</v>
      </c>
      <c r="AK256">
        <v>8</v>
      </c>
      <c r="AL256" t="s">
        <v>1037</v>
      </c>
      <c r="AM256" t="s">
        <v>1038</v>
      </c>
      <c r="AN256" t="s">
        <v>1039</v>
      </c>
      <c r="AO256" t="s">
        <v>3695</v>
      </c>
      <c r="AP256" t="s">
        <v>74</v>
      </c>
      <c r="AQ256" t="s">
        <v>74</v>
      </c>
      <c r="AR256" t="s">
        <v>3682</v>
      </c>
      <c r="AS256" t="s">
        <v>3696</v>
      </c>
      <c r="AT256" t="s">
        <v>3697</v>
      </c>
      <c r="AU256">
        <v>1998</v>
      </c>
      <c r="AV256">
        <v>299</v>
      </c>
      <c r="AW256" t="s">
        <v>2597</v>
      </c>
      <c r="AX256" t="s">
        <v>74</v>
      </c>
      <c r="AY256" t="s">
        <v>74</v>
      </c>
      <c r="AZ256" t="s">
        <v>74</v>
      </c>
      <c r="BA256" t="s">
        <v>74</v>
      </c>
      <c r="BB256">
        <v>1</v>
      </c>
      <c r="BC256">
        <v>13</v>
      </c>
      <c r="BD256" t="s">
        <v>74</v>
      </c>
      <c r="BE256" t="s">
        <v>3698</v>
      </c>
      <c r="BF256" t="str">
        <f>HYPERLINK("http://dx.doi.org/10.1016/S0040-1951(98)00195-4","http://dx.doi.org/10.1016/S0040-1951(98)00195-4")</f>
        <v>http://dx.doi.org/10.1016/S0040-1951(98)00195-4</v>
      </c>
      <c r="BG256" t="s">
        <v>74</v>
      </c>
      <c r="BH256" t="s">
        <v>74</v>
      </c>
      <c r="BI256">
        <v>13</v>
      </c>
      <c r="BJ256" t="s">
        <v>303</v>
      </c>
      <c r="BK256" t="s">
        <v>235</v>
      </c>
      <c r="BL256" t="s">
        <v>303</v>
      </c>
      <c r="BM256" t="s">
        <v>3699</v>
      </c>
      <c r="BN256" t="s">
        <v>74</v>
      </c>
      <c r="BO256" t="s">
        <v>74</v>
      </c>
      <c r="BP256" t="s">
        <v>74</v>
      </c>
      <c r="BQ256" t="s">
        <v>74</v>
      </c>
      <c r="BR256" t="s">
        <v>98</v>
      </c>
      <c r="BS256" t="s">
        <v>3700</v>
      </c>
      <c r="BT256" t="str">
        <f>HYPERLINK("https%3A%2F%2Fwww.webofscience.com%2Fwos%2Fwoscc%2Ffull-record%2FWOS:000078319400002","View Full Record in Web of Science")</f>
        <v>View Full Record in Web of Science</v>
      </c>
    </row>
    <row r="257" spans="1:72" x14ac:dyDescent="0.15">
      <c r="A257" t="s">
        <v>72</v>
      </c>
      <c r="B257" t="s">
        <v>3701</v>
      </c>
      <c r="C257" t="s">
        <v>74</v>
      </c>
      <c r="D257" t="s">
        <v>74</v>
      </c>
      <c r="E257" t="s">
        <v>74</v>
      </c>
      <c r="F257" t="s">
        <v>3701</v>
      </c>
      <c r="G257" t="s">
        <v>74</v>
      </c>
      <c r="H257" t="s">
        <v>74</v>
      </c>
      <c r="I257" t="s">
        <v>3702</v>
      </c>
      <c r="J257" t="s">
        <v>3682</v>
      </c>
      <c r="K257" t="s">
        <v>74</v>
      </c>
      <c r="L257" t="s">
        <v>74</v>
      </c>
      <c r="M257" t="s">
        <v>77</v>
      </c>
      <c r="N257" t="s">
        <v>123</v>
      </c>
      <c r="O257" t="s">
        <v>3683</v>
      </c>
      <c r="P257" t="s">
        <v>3684</v>
      </c>
      <c r="Q257" t="s">
        <v>3685</v>
      </c>
      <c r="R257" t="s">
        <v>74</v>
      </c>
      <c r="S257" t="s">
        <v>74</v>
      </c>
      <c r="T257" t="s">
        <v>3703</v>
      </c>
      <c r="U257" t="s">
        <v>3704</v>
      </c>
      <c r="V257" t="s">
        <v>3705</v>
      </c>
      <c r="W257" t="s">
        <v>3706</v>
      </c>
      <c r="X257" t="s">
        <v>3707</v>
      </c>
      <c r="Y257" t="s">
        <v>3708</v>
      </c>
      <c r="Z257" t="s">
        <v>3709</v>
      </c>
      <c r="AA257" t="s">
        <v>74</v>
      </c>
      <c r="AB257" t="s">
        <v>74</v>
      </c>
      <c r="AC257" t="s">
        <v>74</v>
      </c>
      <c r="AD257" t="s">
        <v>74</v>
      </c>
      <c r="AE257" t="s">
        <v>74</v>
      </c>
      <c r="AF257" t="s">
        <v>74</v>
      </c>
      <c r="AG257">
        <v>154</v>
      </c>
      <c r="AH257">
        <v>42</v>
      </c>
      <c r="AI257">
        <v>43</v>
      </c>
      <c r="AJ257">
        <v>0</v>
      </c>
      <c r="AK257">
        <v>2</v>
      </c>
      <c r="AL257" t="s">
        <v>1037</v>
      </c>
      <c r="AM257" t="s">
        <v>1038</v>
      </c>
      <c r="AN257" t="s">
        <v>1039</v>
      </c>
      <c r="AO257" t="s">
        <v>3695</v>
      </c>
      <c r="AP257" t="s">
        <v>3710</v>
      </c>
      <c r="AQ257" t="s">
        <v>74</v>
      </c>
      <c r="AR257" t="s">
        <v>3682</v>
      </c>
      <c r="AS257" t="s">
        <v>3696</v>
      </c>
      <c r="AT257" t="s">
        <v>3697</v>
      </c>
      <c r="AU257">
        <v>1998</v>
      </c>
      <c r="AV257">
        <v>299</v>
      </c>
      <c r="AW257" t="s">
        <v>2597</v>
      </c>
      <c r="AX257" t="s">
        <v>74</v>
      </c>
      <c r="AY257" t="s">
        <v>74</v>
      </c>
      <c r="AZ257" t="s">
        <v>74</v>
      </c>
      <c r="BA257" t="s">
        <v>74</v>
      </c>
      <c r="BB257">
        <v>49</v>
      </c>
      <c r="BC257">
        <v>74</v>
      </c>
      <c r="BD257" t="s">
        <v>74</v>
      </c>
      <c r="BE257" t="s">
        <v>3711</v>
      </c>
      <c r="BF257" t="str">
        <f>HYPERLINK("http://dx.doi.org/10.1016/S0040-1951(98)00198-X","http://dx.doi.org/10.1016/S0040-1951(98)00198-X")</f>
        <v>http://dx.doi.org/10.1016/S0040-1951(98)00198-X</v>
      </c>
      <c r="BG257" t="s">
        <v>74</v>
      </c>
      <c r="BH257" t="s">
        <v>74</v>
      </c>
      <c r="BI257">
        <v>26</v>
      </c>
      <c r="BJ257" t="s">
        <v>303</v>
      </c>
      <c r="BK257" t="s">
        <v>144</v>
      </c>
      <c r="BL257" t="s">
        <v>303</v>
      </c>
      <c r="BM257" t="s">
        <v>3699</v>
      </c>
      <c r="BN257" t="s">
        <v>74</v>
      </c>
      <c r="BO257" t="s">
        <v>74</v>
      </c>
      <c r="BP257" t="s">
        <v>74</v>
      </c>
      <c r="BQ257" t="s">
        <v>74</v>
      </c>
      <c r="BR257" t="s">
        <v>98</v>
      </c>
      <c r="BS257" t="s">
        <v>3712</v>
      </c>
      <c r="BT257" t="str">
        <f>HYPERLINK("https%3A%2F%2Fwww.webofscience.com%2Fwos%2Fwoscc%2Ffull-record%2FWOS:000078319400005","View Full Record in Web of Science")</f>
        <v>View Full Record in Web of Science</v>
      </c>
    </row>
    <row r="258" spans="1:72" x14ac:dyDescent="0.15">
      <c r="A258" t="s">
        <v>72</v>
      </c>
      <c r="B258" t="s">
        <v>3713</v>
      </c>
      <c r="C258" t="s">
        <v>74</v>
      </c>
      <c r="D258" t="s">
        <v>74</v>
      </c>
      <c r="E258" t="s">
        <v>74</v>
      </c>
      <c r="F258" t="s">
        <v>3713</v>
      </c>
      <c r="G258" t="s">
        <v>74</v>
      </c>
      <c r="H258" t="s">
        <v>74</v>
      </c>
      <c r="I258" t="s">
        <v>3714</v>
      </c>
      <c r="J258" t="s">
        <v>3682</v>
      </c>
      <c r="K258" t="s">
        <v>74</v>
      </c>
      <c r="L258" t="s">
        <v>74</v>
      </c>
      <c r="M258" t="s">
        <v>77</v>
      </c>
      <c r="N258" t="s">
        <v>123</v>
      </c>
      <c r="O258" t="s">
        <v>3683</v>
      </c>
      <c r="P258" t="s">
        <v>3684</v>
      </c>
      <c r="Q258" t="s">
        <v>3685</v>
      </c>
      <c r="R258" t="s">
        <v>74</v>
      </c>
      <c r="S258" t="s">
        <v>74</v>
      </c>
      <c r="T258" t="s">
        <v>3715</v>
      </c>
      <c r="U258" t="s">
        <v>3716</v>
      </c>
      <c r="V258" t="s">
        <v>3717</v>
      </c>
      <c r="W258" t="s">
        <v>3718</v>
      </c>
      <c r="X258" t="s">
        <v>3719</v>
      </c>
      <c r="Y258" t="s">
        <v>3720</v>
      </c>
      <c r="Z258" t="s">
        <v>3721</v>
      </c>
      <c r="AA258" t="s">
        <v>74</v>
      </c>
      <c r="AB258" t="s">
        <v>74</v>
      </c>
      <c r="AC258" t="s">
        <v>74</v>
      </c>
      <c r="AD258" t="s">
        <v>74</v>
      </c>
      <c r="AE258" t="s">
        <v>74</v>
      </c>
      <c r="AF258" t="s">
        <v>74</v>
      </c>
      <c r="AG258">
        <v>51</v>
      </c>
      <c r="AH258">
        <v>81</v>
      </c>
      <c r="AI258">
        <v>96</v>
      </c>
      <c r="AJ258">
        <v>0</v>
      </c>
      <c r="AK258">
        <v>10</v>
      </c>
      <c r="AL258" t="s">
        <v>3722</v>
      </c>
      <c r="AM258" t="s">
        <v>1038</v>
      </c>
      <c r="AN258" t="s">
        <v>3723</v>
      </c>
      <c r="AO258" t="s">
        <v>3695</v>
      </c>
      <c r="AP258" t="s">
        <v>3710</v>
      </c>
      <c r="AQ258" t="s">
        <v>74</v>
      </c>
      <c r="AR258" t="s">
        <v>3682</v>
      </c>
      <c r="AS258" t="s">
        <v>3696</v>
      </c>
      <c r="AT258" t="s">
        <v>3697</v>
      </c>
      <c r="AU258">
        <v>1998</v>
      </c>
      <c r="AV258">
        <v>299</v>
      </c>
      <c r="AW258" t="s">
        <v>2597</v>
      </c>
      <c r="AX258" t="s">
        <v>74</v>
      </c>
      <c r="AY258" t="s">
        <v>74</v>
      </c>
      <c r="AZ258" t="s">
        <v>74</v>
      </c>
      <c r="BA258" t="s">
        <v>74</v>
      </c>
      <c r="BB258">
        <v>93</v>
      </c>
      <c r="BC258">
        <v>109</v>
      </c>
      <c r="BD258" t="s">
        <v>74</v>
      </c>
      <c r="BE258" t="s">
        <v>3724</v>
      </c>
      <c r="BF258" t="str">
        <f>HYPERLINK("http://dx.doi.org/10.1016/S0040-1951(98)00200-5","http://dx.doi.org/10.1016/S0040-1951(98)00200-5")</f>
        <v>http://dx.doi.org/10.1016/S0040-1951(98)00200-5</v>
      </c>
      <c r="BG258" t="s">
        <v>74</v>
      </c>
      <c r="BH258" t="s">
        <v>74</v>
      </c>
      <c r="BI258">
        <v>17</v>
      </c>
      <c r="BJ258" t="s">
        <v>303</v>
      </c>
      <c r="BK258" t="s">
        <v>144</v>
      </c>
      <c r="BL258" t="s">
        <v>303</v>
      </c>
      <c r="BM258" t="s">
        <v>3699</v>
      </c>
      <c r="BN258" t="s">
        <v>74</v>
      </c>
      <c r="BO258" t="s">
        <v>74</v>
      </c>
      <c r="BP258" t="s">
        <v>74</v>
      </c>
      <c r="BQ258" t="s">
        <v>74</v>
      </c>
      <c r="BR258" t="s">
        <v>98</v>
      </c>
      <c r="BS258" t="s">
        <v>3725</v>
      </c>
      <c r="BT258" t="str">
        <f>HYPERLINK("https%3A%2F%2Fwww.webofscience.com%2Fwos%2Fwoscc%2Ffull-record%2FWOS:000078319400007","View Full Record in Web of Science")</f>
        <v>View Full Record in Web of Science</v>
      </c>
    </row>
    <row r="259" spans="1:72" x14ac:dyDescent="0.15">
      <c r="A259" t="s">
        <v>72</v>
      </c>
      <c r="B259" t="s">
        <v>3726</v>
      </c>
      <c r="C259" t="s">
        <v>74</v>
      </c>
      <c r="D259" t="s">
        <v>74</v>
      </c>
      <c r="E259" t="s">
        <v>74</v>
      </c>
      <c r="F259" t="s">
        <v>3726</v>
      </c>
      <c r="G259" t="s">
        <v>74</v>
      </c>
      <c r="H259" t="s">
        <v>74</v>
      </c>
      <c r="I259" t="s">
        <v>3727</v>
      </c>
      <c r="J259" t="s">
        <v>3728</v>
      </c>
      <c r="K259" t="s">
        <v>74</v>
      </c>
      <c r="L259" t="s">
        <v>74</v>
      </c>
      <c r="M259" t="s">
        <v>77</v>
      </c>
      <c r="N259" t="s">
        <v>103</v>
      </c>
      <c r="O259" t="s">
        <v>74</v>
      </c>
      <c r="P259" t="s">
        <v>74</v>
      </c>
      <c r="Q259" t="s">
        <v>74</v>
      </c>
      <c r="R259" t="s">
        <v>74</v>
      </c>
      <c r="S259" t="s">
        <v>74</v>
      </c>
      <c r="T259" t="s">
        <v>74</v>
      </c>
      <c r="U259" t="s">
        <v>3729</v>
      </c>
      <c r="V259" t="s">
        <v>3730</v>
      </c>
      <c r="W259" t="s">
        <v>3731</v>
      </c>
      <c r="X259" t="s">
        <v>3732</v>
      </c>
      <c r="Y259" t="s">
        <v>3733</v>
      </c>
      <c r="Z259" t="s">
        <v>3734</v>
      </c>
      <c r="AA259" t="s">
        <v>74</v>
      </c>
      <c r="AB259" t="s">
        <v>74</v>
      </c>
      <c r="AC259" t="s">
        <v>74</v>
      </c>
      <c r="AD259" t="s">
        <v>74</v>
      </c>
      <c r="AE259" t="s">
        <v>74</v>
      </c>
      <c r="AF259" t="s">
        <v>74</v>
      </c>
      <c r="AG259">
        <v>85</v>
      </c>
      <c r="AH259">
        <v>25</v>
      </c>
      <c r="AI259">
        <v>28</v>
      </c>
      <c r="AJ259">
        <v>0</v>
      </c>
      <c r="AK259">
        <v>9</v>
      </c>
      <c r="AL259" t="s">
        <v>3735</v>
      </c>
      <c r="AM259" t="s">
        <v>3736</v>
      </c>
      <c r="AN259" t="s">
        <v>3737</v>
      </c>
      <c r="AO259" t="s">
        <v>3738</v>
      </c>
      <c r="AP259" t="s">
        <v>3739</v>
      </c>
      <c r="AQ259" t="s">
        <v>74</v>
      </c>
      <c r="AR259" t="s">
        <v>3740</v>
      </c>
      <c r="AS259" t="s">
        <v>3741</v>
      </c>
      <c r="AT259" t="s">
        <v>3742</v>
      </c>
      <c r="AU259">
        <v>1998</v>
      </c>
      <c r="AV259">
        <v>273</v>
      </c>
      <c r="AW259">
        <v>51</v>
      </c>
      <c r="AX259" t="s">
        <v>74</v>
      </c>
      <c r="AY259" t="s">
        <v>74</v>
      </c>
      <c r="AZ259" t="s">
        <v>74</v>
      </c>
      <c r="BA259" t="s">
        <v>74</v>
      </c>
      <c r="BB259">
        <v>34358</v>
      </c>
      <c r="BC259">
        <v>34369</v>
      </c>
      <c r="BD259" t="s">
        <v>74</v>
      </c>
      <c r="BE259" t="s">
        <v>3743</v>
      </c>
      <c r="BF259" t="str">
        <f>HYPERLINK("http://dx.doi.org/10.1074/jbc.273.51.34358","http://dx.doi.org/10.1074/jbc.273.51.34358")</f>
        <v>http://dx.doi.org/10.1074/jbc.273.51.34358</v>
      </c>
      <c r="BG259" t="s">
        <v>74</v>
      </c>
      <c r="BH259" t="s">
        <v>74</v>
      </c>
      <c r="BI259">
        <v>12</v>
      </c>
      <c r="BJ259" t="s">
        <v>3744</v>
      </c>
      <c r="BK259" t="s">
        <v>95</v>
      </c>
      <c r="BL259" t="s">
        <v>3744</v>
      </c>
      <c r="BM259" t="s">
        <v>3745</v>
      </c>
      <c r="BN259">
        <v>9852102</v>
      </c>
      <c r="BO259" t="s">
        <v>1429</v>
      </c>
      <c r="BP259" t="s">
        <v>74</v>
      </c>
      <c r="BQ259" t="s">
        <v>74</v>
      </c>
      <c r="BR259" t="s">
        <v>98</v>
      </c>
      <c r="BS259" t="s">
        <v>3746</v>
      </c>
      <c r="BT259" t="str">
        <f>HYPERLINK("https%3A%2F%2Fwww.webofscience.com%2Fwos%2Fwoscc%2Ffull-record%2FWOS:000077542200068","View Full Record in Web of Science")</f>
        <v>View Full Record in Web of Science</v>
      </c>
    </row>
    <row r="260" spans="1:72" x14ac:dyDescent="0.15">
      <c r="A260" t="s">
        <v>72</v>
      </c>
      <c r="B260" t="s">
        <v>3747</v>
      </c>
      <c r="C260" t="s">
        <v>74</v>
      </c>
      <c r="D260" t="s">
        <v>74</v>
      </c>
      <c r="E260" t="s">
        <v>74</v>
      </c>
      <c r="F260" t="s">
        <v>3747</v>
      </c>
      <c r="G260" t="s">
        <v>74</v>
      </c>
      <c r="H260" t="s">
        <v>74</v>
      </c>
      <c r="I260" t="s">
        <v>3748</v>
      </c>
      <c r="J260" t="s">
        <v>3749</v>
      </c>
      <c r="K260" t="s">
        <v>74</v>
      </c>
      <c r="L260" t="s">
        <v>74</v>
      </c>
      <c r="M260" t="s">
        <v>77</v>
      </c>
      <c r="N260" t="s">
        <v>103</v>
      </c>
      <c r="O260" t="s">
        <v>74</v>
      </c>
      <c r="P260" t="s">
        <v>74</v>
      </c>
      <c r="Q260" t="s">
        <v>74</v>
      </c>
      <c r="R260" t="s">
        <v>74</v>
      </c>
      <c r="S260" t="s">
        <v>74</v>
      </c>
      <c r="T260" t="s">
        <v>74</v>
      </c>
      <c r="U260" t="s">
        <v>3750</v>
      </c>
      <c r="V260" t="s">
        <v>3751</v>
      </c>
      <c r="W260" t="s">
        <v>3752</v>
      </c>
      <c r="X260" t="s">
        <v>3753</v>
      </c>
      <c r="Y260" t="s">
        <v>3754</v>
      </c>
      <c r="Z260" t="s">
        <v>74</v>
      </c>
      <c r="AA260" t="s">
        <v>3755</v>
      </c>
      <c r="AB260" t="s">
        <v>74</v>
      </c>
      <c r="AC260" t="s">
        <v>74</v>
      </c>
      <c r="AD260" t="s">
        <v>74</v>
      </c>
      <c r="AE260" t="s">
        <v>74</v>
      </c>
      <c r="AF260" t="s">
        <v>74</v>
      </c>
      <c r="AG260">
        <v>29</v>
      </c>
      <c r="AH260">
        <v>359</v>
      </c>
      <c r="AI260">
        <v>395</v>
      </c>
      <c r="AJ260">
        <v>2</v>
      </c>
      <c r="AK260">
        <v>57</v>
      </c>
      <c r="AL260" t="s">
        <v>3756</v>
      </c>
      <c r="AM260" t="s">
        <v>967</v>
      </c>
      <c r="AN260" t="s">
        <v>3757</v>
      </c>
      <c r="AO260" t="s">
        <v>3758</v>
      </c>
      <c r="AP260" t="s">
        <v>74</v>
      </c>
      <c r="AQ260" t="s">
        <v>74</v>
      </c>
      <c r="AR260" t="s">
        <v>3749</v>
      </c>
      <c r="AS260" t="s">
        <v>3759</v>
      </c>
      <c r="AT260" t="s">
        <v>3742</v>
      </c>
      <c r="AU260">
        <v>1998</v>
      </c>
      <c r="AV260">
        <v>282</v>
      </c>
      <c r="AW260">
        <v>5397</v>
      </c>
      <c r="AX260" t="s">
        <v>74</v>
      </c>
      <c r="AY260" t="s">
        <v>74</v>
      </c>
      <c r="AZ260" t="s">
        <v>74</v>
      </c>
      <c r="BA260" t="s">
        <v>74</v>
      </c>
      <c r="BB260">
        <v>2238</v>
      </c>
      <c r="BC260">
        <v>2241</v>
      </c>
      <c r="BD260" t="s">
        <v>74</v>
      </c>
      <c r="BE260" t="s">
        <v>3760</v>
      </c>
      <c r="BF260" t="str">
        <f>HYPERLINK("http://dx.doi.org/10.1126/science.282.5397.2238","http://dx.doi.org/10.1126/science.282.5397.2238")</f>
        <v>http://dx.doi.org/10.1126/science.282.5397.2238</v>
      </c>
      <c r="BG260" t="s">
        <v>74</v>
      </c>
      <c r="BH260" t="s">
        <v>74</v>
      </c>
      <c r="BI260">
        <v>4</v>
      </c>
      <c r="BJ260" t="s">
        <v>3377</v>
      </c>
      <c r="BK260" t="s">
        <v>95</v>
      </c>
      <c r="BL260" t="s">
        <v>3378</v>
      </c>
      <c r="BM260" t="s">
        <v>3761</v>
      </c>
      <c r="BN260">
        <v>9856942</v>
      </c>
      <c r="BO260" t="s">
        <v>74</v>
      </c>
      <c r="BP260" t="s">
        <v>74</v>
      </c>
      <c r="BQ260" t="s">
        <v>74</v>
      </c>
      <c r="BR260" t="s">
        <v>98</v>
      </c>
      <c r="BS260" t="s">
        <v>3762</v>
      </c>
      <c r="BT260" t="str">
        <f>HYPERLINK("https%3A%2F%2Fwww.webofscience.com%2Fwos%2Fwoscc%2Ffull-record%2FWOS:000077645800040","View Full Record in Web of Science")</f>
        <v>View Full Record in Web of Science</v>
      </c>
    </row>
    <row r="261" spans="1:72" x14ac:dyDescent="0.15">
      <c r="A261" t="s">
        <v>72</v>
      </c>
      <c r="B261" t="s">
        <v>3763</v>
      </c>
      <c r="C261" t="s">
        <v>74</v>
      </c>
      <c r="D261" t="s">
        <v>74</v>
      </c>
      <c r="E261" t="s">
        <v>74</v>
      </c>
      <c r="F261" t="s">
        <v>3763</v>
      </c>
      <c r="G261" t="s">
        <v>74</v>
      </c>
      <c r="H261" t="s">
        <v>74</v>
      </c>
      <c r="I261" t="s">
        <v>3764</v>
      </c>
      <c r="J261" t="s">
        <v>3624</v>
      </c>
      <c r="K261" t="s">
        <v>74</v>
      </c>
      <c r="L261" t="s">
        <v>74</v>
      </c>
      <c r="M261" t="s">
        <v>77</v>
      </c>
      <c r="N261" t="s">
        <v>103</v>
      </c>
      <c r="O261" t="s">
        <v>74</v>
      </c>
      <c r="P261" t="s">
        <v>74</v>
      </c>
      <c r="Q261" t="s">
        <v>74</v>
      </c>
      <c r="R261" t="s">
        <v>74</v>
      </c>
      <c r="S261" t="s">
        <v>74</v>
      </c>
      <c r="T261" t="s">
        <v>3765</v>
      </c>
      <c r="U261" t="s">
        <v>3766</v>
      </c>
      <c r="V261" t="s">
        <v>3767</v>
      </c>
      <c r="W261" t="s">
        <v>3768</v>
      </c>
      <c r="X261" t="s">
        <v>3769</v>
      </c>
      <c r="Y261" t="s">
        <v>3770</v>
      </c>
      <c r="Z261" t="s">
        <v>74</v>
      </c>
      <c r="AA261" t="s">
        <v>3771</v>
      </c>
      <c r="AB261" t="s">
        <v>3772</v>
      </c>
      <c r="AC261" t="s">
        <v>74</v>
      </c>
      <c r="AD261" t="s">
        <v>74</v>
      </c>
      <c r="AE261" t="s">
        <v>74</v>
      </c>
      <c r="AF261" t="s">
        <v>74</v>
      </c>
      <c r="AG261">
        <v>34</v>
      </c>
      <c r="AH261">
        <v>25</v>
      </c>
      <c r="AI261">
        <v>29</v>
      </c>
      <c r="AJ261">
        <v>0</v>
      </c>
      <c r="AK261">
        <v>10</v>
      </c>
      <c r="AL261" t="s">
        <v>1037</v>
      </c>
      <c r="AM261" t="s">
        <v>1038</v>
      </c>
      <c r="AN261" t="s">
        <v>1039</v>
      </c>
      <c r="AO261" t="s">
        <v>3630</v>
      </c>
      <c r="AP261" t="s">
        <v>74</v>
      </c>
      <c r="AQ261" t="s">
        <v>74</v>
      </c>
      <c r="AR261" t="s">
        <v>3631</v>
      </c>
      <c r="AS261" t="s">
        <v>3632</v>
      </c>
      <c r="AT261" t="s">
        <v>3773</v>
      </c>
      <c r="AU261">
        <v>1998</v>
      </c>
      <c r="AV261">
        <v>164</v>
      </c>
      <c r="AW261" t="s">
        <v>412</v>
      </c>
      <c r="AX261" t="s">
        <v>74</v>
      </c>
      <c r="AY261" t="s">
        <v>74</v>
      </c>
      <c r="AZ261" t="s">
        <v>74</v>
      </c>
      <c r="BA261" t="s">
        <v>74</v>
      </c>
      <c r="BB261">
        <v>31</v>
      </c>
      <c r="BC261">
        <v>40</v>
      </c>
      <c r="BD261" t="s">
        <v>74</v>
      </c>
      <c r="BE261" t="s">
        <v>3774</v>
      </c>
      <c r="BF261" t="str">
        <f>HYPERLINK("http://dx.doi.org/10.1016/S0012-821X(98)00217-9","http://dx.doi.org/10.1016/S0012-821X(98)00217-9")</f>
        <v>http://dx.doi.org/10.1016/S0012-821X(98)00217-9</v>
      </c>
      <c r="BG261" t="s">
        <v>74</v>
      </c>
      <c r="BH261" t="s">
        <v>74</v>
      </c>
      <c r="BI261">
        <v>10</v>
      </c>
      <c r="BJ261" t="s">
        <v>303</v>
      </c>
      <c r="BK261" t="s">
        <v>95</v>
      </c>
      <c r="BL261" t="s">
        <v>303</v>
      </c>
      <c r="BM261" t="s">
        <v>3775</v>
      </c>
      <c r="BN261" t="s">
        <v>74</v>
      </c>
      <c r="BO261" t="s">
        <v>74</v>
      </c>
      <c r="BP261" t="s">
        <v>74</v>
      </c>
      <c r="BQ261" t="s">
        <v>74</v>
      </c>
      <c r="BR261" t="s">
        <v>98</v>
      </c>
      <c r="BS261" t="s">
        <v>3776</v>
      </c>
      <c r="BT261" t="str">
        <f>HYPERLINK("https%3A%2F%2Fwww.webofscience.com%2Fwos%2Fwoscc%2Ffull-record%2FWOS:000077815900005","View Full Record in Web of Science")</f>
        <v>View Full Record in Web of Science</v>
      </c>
    </row>
    <row r="262" spans="1:72" x14ac:dyDescent="0.15">
      <c r="A262" t="s">
        <v>72</v>
      </c>
      <c r="B262" t="s">
        <v>3777</v>
      </c>
      <c r="C262" t="s">
        <v>74</v>
      </c>
      <c r="D262" t="s">
        <v>74</v>
      </c>
      <c r="E262" t="s">
        <v>74</v>
      </c>
      <c r="F262" t="s">
        <v>3777</v>
      </c>
      <c r="G262" t="s">
        <v>74</v>
      </c>
      <c r="H262" t="s">
        <v>74</v>
      </c>
      <c r="I262" t="s">
        <v>3778</v>
      </c>
      <c r="J262" t="s">
        <v>3624</v>
      </c>
      <c r="K262" t="s">
        <v>74</v>
      </c>
      <c r="L262" t="s">
        <v>74</v>
      </c>
      <c r="M262" t="s">
        <v>77</v>
      </c>
      <c r="N262" t="s">
        <v>103</v>
      </c>
      <c r="O262" t="s">
        <v>74</v>
      </c>
      <c r="P262" t="s">
        <v>74</v>
      </c>
      <c r="Q262" t="s">
        <v>74</v>
      </c>
      <c r="R262" t="s">
        <v>74</v>
      </c>
      <c r="S262" t="s">
        <v>74</v>
      </c>
      <c r="T262" t="s">
        <v>3779</v>
      </c>
      <c r="U262" t="s">
        <v>3780</v>
      </c>
      <c r="V262" t="s">
        <v>3781</v>
      </c>
      <c r="W262" t="s">
        <v>3782</v>
      </c>
      <c r="X262" t="s">
        <v>3783</v>
      </c>
      <c r="Y262" t="s">
        <v>3784</v>
      </c>
      <c r="Z262" t="s">
        <v>3785</v>
      </c>
      <c r="AA262" t="s">
        <v>3786</v>
      </c>
      <c r="AB262" t="s">
        <v>3787</v>
      </c>
      <c r="AC262" t="s">
        <v>74</v>
      </c>
      <c r="AD262" t="s">
        <v>74</v>
      </c>
      <c r="AE262" t="s">
        <v>74</v>
      </c>
      <c r="AF262" t="s">
        <v>74</v>
      </c>
      <c r="AG262">
        <v>48</v>
      </c>
      <c r="AH262">
        <v>37</v>
      </c>
      <c r="AI262">
        <v>38</v>
      </c>
      <c r="AJ262">
        <v>0</v>
      </c>
      <c r="AK262">
        <v>5</v>
      </c>
      <c r="AL262" t="s">
        <v>3722</v>
      </c>
      <c r="AM262" t="s">
        <v>1038</v>
      </c>
      <c r="AN262" t="s">
        <v>3723</v>
      </c>
      <c r="AO262" t="s">
        <v>3630</v>
      </c>
      <c r="AP262" t="s">
        <v>3788</v>
      </c>
      <c r="AQ262" t="s">
        <v>74</v>
      </c>
      <c r="AR262" t="s">
        <v>3631</v>
      </c>
      <c r="AS262" t="s">
        <v>3632</v>
      </c>
      <c r="AT262" t="s">
        <v>3773</v>
      </c>
      <c r="AU262">
        <v>1998</v>
      </c>
      <c r="AV262">
        <v>164</v>
      </c>
      <c r="AW262" t="s">
        <v>412</v>
      </c>
      <c r="AX262" t="s">
        <v>74</v>
      </c>
      <c r="AY262" t="s">
        <v>74</v>
      </c>
      <c r="AZ262" t="s">
        <v>74</v>
      </c>
      <c r="BA262" t="s">
        <v>74</v>
      </c>
      <c r="BB262">
        <v>41</v>
      </c>
      <c r="BC262">
        <v>59</v>
      </c>
      <c r="BD262" t="s">
        <v>74</v>
      </c>
      <c r="BE262" t="s">
        <v>3789</v>
      </c>
      <c r="BF262" t="str">
        <f>HYPERLINK("http://dx.doi.org/10.1016/S0012-821X(98)00165-4","http://dx.doi.org/10.1016/S0012-821X(98)00165-4")</f>
        <v>http://dx.doi.org/10.1016/S0012-821X(98)00165-4</v>
      </c>
      <c r="BG262" t="s">
        <v>74</v>
      </c>
      <c r="BH262" t="s">
        <v>74</v>
      </c>
      <c r="BI262">
        <v>19</v>
      </c>
      <c r="BJ262" t="s">
        <v>303</v>
      </c>
      <c r="BK262" t="s">
        <v>95</v>
      </c>
      <c r="BL262" t="s">
        <v>303</v>
      </c>
      <c r="BM262" t="s">
        <v>3775</v>
      </c>
      <c r="BN262" t="s">
        <v>74</v>
      </c>
      <c r="BO262" t="s">
        <v>74</v>
      </c>
      <c r="BP262" t="s">
        <v>74</v>
      </c>
      <c r="BQ262" t="s">
        <v>74</v>
      </c>
      <c r="BR262" t="s">
        <v>98</v>
      </c>
      <c r="BS262" t="s">
        <v>3790</v>
      </c>
      <c r="BT262" t="str">
        <f>HYPERLINK("https%3A%2F%2Fwww.webofscience.com%2Fwos%2Fwoscc%2Ffull-record%2FWOS:000077815900006","View Full Record in Web of Science")</f>
        <v>View Full Record in Web of Science</v>
      </c>
    </row>
    <row r="263" spans="1:72" x14ac:dyDescent="0.15">
      <c r="A263" t="s">
        <v>72</v>
      </c>
      <c r="B263" t="s">
        <v>3791</v>
      </c>
      <c r="C263" t="s">
        <v>74</v>
      </c>
      <c r="D263" t="s">
        <v>74</v>
      </c>
      <c r="E263" t="s">
        <v>74</v>
      </c>
      <c r="F263" t="s">
        <v>3791</v>
      </c>
      <c r="G263" t="s">
        <v>74</v>
      </c>
      <c r="H263" t="s">
        <v>74</v>
      </c>
      <c r="I263" t="s">
        <v>3792</v>
      </c>
      <c r="J263" t="s">
        <v>3624</v>
      </c>
      <c r="K263" t="s">
        <v>74</v>
      </c>
      <c r="L263" t="s">
        <v>74</v>
      </c>
      <c r="M263" t="s">
        <v>77</v>
      </c>
      <c r="N263" t="s">
        <v>103</v>
      </c>
      <c r="O263" t="s">
        <v>74</v>
      </c>
      <c r="P263" t="s">
        <v>74</v>
      </c>
      <c r="Q263" t="s">
        <v>74</v>
      </c>
      <c r="R263" t="s">
        <v>74</v>
      </c>
      <c r="S263" t="s">
        <v>74</v>
      </c>
      <c r="T263" t="s">
        <v>3793</v>
      </c>
      <c r="U263" t="s">
        <v>3794</v>
      </c>
      <c r="V263" t="s">
        <v>3795</v>
      </c>
      <c r="W263" t="s">
        <v>3796</v>
      </c>
      <c r="X263" t="s">
        <v>3797</v>
      </c>
      <c r="Y263" t="s">
        <v>3798</v>
      </c>
      <c r="Z263" t="s">
        <v>3799</v>
      </c>
      <c r="AA263" t="s">
        <v>3800</v>
      </c>
      <c r="AB263" t="s">
        <v>3801</v>
      </c>
      <c r="AC263" t="s">
        <v>74</v>
      </c>
      <c r="AD263" t="s">
        <v>74</v>
      </c>
      <c r="AE263" t="s">
        <v>74</v>
      </c>
      <c r="AF263" t="s">
        <v>74</v>
      </c>
      <c r="AG263">
        <v>67</v>
      </c>
      <c r="AH263">
        <v>51</v>
      </c>
      <c r="AI263">
        <v>58</v>
      </c>
      <c r="AJ263">
        <v>0</v>
      </c>
      <c r="AK263">
        <v>13</v>
      </c>
      <c r="AL263" t="s">
        <v>1037</v>
      </c>
      <c r="AM263" t="s">
        <v>1038</v>
      </c>
      <c r="AN263" t="s">
        <v>1039</v>
      </c>
      <c r="AO263" t="s">
        <v>3630</v>
      </c>
      <c r="AP263" t="s">
        <v>74</v>
      </c>
      <c r="AQ263" t="s">
        <v>74</v>
      </c>
      <c r="AR263" t="s">
        <v>3631</v>
      </c>
      <c r="AS263" t="s">
        <v>3632</v>
      </c>
      <c r="AT263" t="s">
        <v>3773</v>
      </c>
      <c r="AU263">
        <v>1998</v>
      </c>
      <c r="AV263">
        <v>164</v>
      </c>
      <c r="AW263" t="s">
        <v>412</v>
      </c>
      <c r="AX263" t="s">
        <v>74</v>
      </c>
      <c r="AY263" t="s">
        <v>74</v>
      </c>
      <c r="AZ263" t="s">
        <v>74</v>
      </c>
      <c r="BA263" t="s">
        <v>74</v>
      </c>
      <c r="BB263">
        <v>165</v>
      </c>
      <c r="BC263">
        <v>178</v>
      </c>
      <c r="BD263" t="s">
        <v>74</v>
      </c>
      <c r="BE263" t="s">
        <v>3802</v>
      </c>
      <c r="BF263" t="str">
        <f>HYPERLINK("http://dx.doi.org/10.1016/S0012-821X(98)00201-5","http://dx.doi.org/10.1016/S0012-821X(98)00201-5")</f>
        <v>http://dx.doi.org/10.1016/S0012-821X(98)00201-5</v>
      </c>
      <c r="BG263" t="s">
        <v>74</v>
      </c>
      <c r="BH263" t="s">
        <v>74</v>
      </c>
      <c r="BI263">
        <v>14</v>
      </c>
      <c r="BJ263" t="s">
        <v>303</v>
      </c>
      <c r="BK263" t="s">
        <v>95</v>
      </c>
      <c r="BL263" t="s">
        <v>303</v>
      </c>
      <c r="BM263" t="s">
        <v>3775</v>
      </c>
      <c r="BN263" t="s">
        <v>74</v>
      </c>
      <c r="BO263" t="s">
        <v>74</v>
      </c>
      <c r="BP263" t="s">
        <v>74</v>
      </c>
      <c r="BQ263" t="s">
        <v>74</v>
      </c>
      <c r="BR263" t="s">
        <v>98</v>
      </c>
      <c r="BS263" t="s">
        <v>3803</v>
      </c>
      <c r="BT263" t="str">
        <f>HYPERLINK("https%3A%2F%2Fwww.webofscience.com%2Fwos%2Fwoscc%2Ffull-record%2FWOS:000077815900013","View Full Record in Web of Science")</f>
        <v>View Full Record in Web of Science</v>
      </c>
    </row>
    <row r="264" spans="1:72" x14ac:dyDescent="0.15">
      <c r="A264" t="s">
        <v>72</v>
      </c>
      <c r="B264" t="s">
        <v>3804</v>
      </c>
      <c r="C264" t="s">
        <v>74</v>
      </c>
      <c r="D264" t="s">
        <v>74</v>
      </c>
      <c r="E264" t="s">
        <v>74</v>
      </c>
      <c r="F264" t="s">
        <v>3804</v>
      </c>
      <c r="G264" t="s">
        <v>74</v>
      </c>
      <c r="H264" t="s">
        <v>74</v>
      </c>
      <c r="I264" t="s">
        <v>3805</v>
      </c>
      <c r="J264" t="s">
        <v>3806</v>
      </c>
      <c r="K264" t="s">
        <v>74</v>
      </c>
      <c r="L264" t="s">
        <v>74</v>
      </c>
      <c r="M264" t="s">
        <v>77</v>
      </c>
      <c r="N264" t="s">
        <v>103</v>
      </c>
      <c r="O264" t="s">
        <v>74</v>
      </c>
      <c r="P264" t="s">
        <v>74</v>
      </c>
      <c r="Q264" t="s">
        <v>74</v>
      </c>
      <c r="R264" t="s">
        <v>74</v>
      </c>
      <c r="S264" t="s">
        <v>74</v>
      </c>
      <c r="T264" t="s">
        <v>74</v>
      </c>
      <c r="U264" t="s">
        <v>3807</v>
      </c>
      <c r="V264" t="s">
        <v>3808</v>
      </c>
      <c r="W264" t="s">
        <v>3809</v>
      </c>
      <c r="X264" t="s">
        <v>3810</v>
      </c>
      <c r="Y264" t="s">
        <v>3811</v>
      </c>
      <c r="Z264" t="s">
        <v>3812</v>
      </c>
      <c r="AA264" t="s">
        <v>74</v>
      </c>
      <c r="AB264" t="s">
        <v>74</v>
      </c>
      <c r="AC264" t="s">
        <v>74</v>
      </c>
      <c r="AD264" t="s">
        <v>74</v>
      </c>
      <c r="AE264" t="s">
        <v>74</v>
      </c>
      <c r="AF264" t="s">
        <v>74</v>
      </c>
      <c r="AG264">
        <v>50</v>
      </c>
      <c r="AH264">
        <v>13</v>
      </c>
      <c r="AI264">
        <v>14</v>
      </c>
      <c r="AJ264">
        <v>1</v>
      </c>
      <c r="AK264">
        <v>4</v>
      </c>
      <c r="AL264" t="s">
        <v>3813</v>
      </c>
      <c r="AM264" t="s">
        <v>967</v>
      </c>
      <c r="AN264" t="s">
        <v>3814</v>
      </c>
      <c r="AO264" t="s">
        <v>3815</v>
      </c>
      <c r="AP264" t="s">
        <v>74</v>
      </c>
      <c r="AQ264" t="s">
        <v>74</v>
      </c>
      <c r="AR264" t="s">
        <v>3816</v>
      </c>
      <c r="AS264" t="s">
        <v>3817</v>
      </c>
      <c r="AT264" t="s">
        <v>3773</v>
      </c>
      <c r="AU264">
        <v>1998</v>
      </c>
      <c r="AV264">
        <v>32</v>
      </c>
      <c r="AW264">
        <v>24</v>
      </c>
      <c r="AX264" t="s">
        <v>74</v>
      </c>
      <c r="AY264" t="s">
        <v>74</v>
      </c>
      <c r="AZ264" t="s">
        <v>74</v>
      </c>
      <c r="BA264" t="s">
        <v>74</v>
      </c>
      <c r="BB264">
        <v>3974</v>
      </c>
      <c r="BC264">
        <v>3979</v>
      </c>
      <c r="BD264" t="s">
        <v>74</v>
      </c>
      <c r="BE264" t="s">
        <v>3818</v>
      </c>
      <c r="BF264" t="str">
        <f>HYPERLINK("http://dx.doi.org/10.1021/es971012w","http://dx.doi.org/10.1021/es971012w")</f>
        <v>http://dx.doi.org/10.1021/es971012w</v>
      </c>
      <c r="BG264" t="s">
        <v>74</v>
      </c>
      <c r="BH264" t="s">
        <v>74</v>
      </c>
      <c r="BI264">
        <v>6</v>
      </c>
      <c r="BJ264" t="s">
        <v>3819</v>
      </c>
      <c r="BK264" t="s">
        <v>95</v>
      </c>
      <c r="BL264" t="s">
        <v>3820</v>
      </c>
      <c r="BM264" t="s">
        <v>3821</v>
      </c>
      <c r="BN264" t="s">
        <v>74</v>
      </c>
      <c r="BO264" t="s">
        <v>74</v>
      </c>
      <c r="BP264" t="s">
        <v>74</v>
      </c>
      <c r="BQ264" t="s">
        <v>74</v>
      </c>
      <c r="BR264" t="s">
        <v>98</v>
      </c>
      <c r="BS264" t="s">
        <v>3822</v>
      </c>
      <c r="BT264" t="str">
        <f>HYPERLINK("https%3A%2F%2Fwww.webofscience.com%2Fwos%2Fwoscc%2Ffull-record%2FWOS:000077561200020","View Full Record in Web of Science")</f>
        <v>View Full Record in Web of Science</v>
      </c>
    </row>
    <row r="265" spans="1:72" x14ac:dyDescent="0.15">
      <c r="A265" t="s">
        <v>72</v>
      </c>
      <c r="B265" t="s">
        <v>3823</v>
      </c>
      <c r="C265" t="s">
        <v>74</v>
      </c>
      <c r="D265" t="s">
        <v>74</v>
      </c>
      <c r="E265" t="s">
        <v>74</v>
      </c>
      <c r="F265" t="s">
        <v>3823</v>
      </c>
      <c r="G265" t="s">
        <v>74</v>
      </c>
      <c r="H265" t="s">
        <v>74</v>
      </c>
      <c r="I265" t="s">
        <v>3824</v>
      </c>
      <c r="J265" t="s">
        <v>3825</v>
      </c>
      <c r="K265" t="s">
        <v>74</v>
      </c>
      <c r="L265" t="s">
        <v>74</v>
      </c>
      <c r="M265" t="s">
        <v>77</v>
      </c>
      <c r="N265" t="s">
        <v>103</v>
      </c>
      <c r="O265" t="s">
        <v>74</v>
      </c>
      <c r="P265" t="s">
        <v>74</v>
      </c>
      <c r="Q265" t="s">
        <v>74</v>
      </c>
      <c r="R265" t="s">
        <v>74</v>
      </c>
      <c r="S265" t="s">
        <v>74</v>
      </c>
      <c r="T265" t="s">
        <v>74</v>
      </c>
      <c r="U265" t="s">
        <v>3826</v>
      </c>
      <c r="V265" t="s">
        <v>3827</v>
      </c>
      <c r="W265" t="s">
        <v>3828</v>
      </c>
      <c r="X265" t="s">
        <v>3829</v>
      </c>
      <c r="Y265" t="s">
        <v>3830</v>
      </c>
      <c r="Z265" t="s">
        <v>3831</v>
      </c>
      <c r="AA265" t="s">
        <v>74</v>
      </c>
      <c r="AB265" t="s">
        <v>3832</v>
      </c>
      <c r="AC265" t="s">
        <v>74</v>
      </c>
      <c r="AD265" t="s">
        <v>74</v>
      </c>
      <c r="AE265" t="s">
        <v>74</v>
      </c>
      <c r="AF265" t="s">
        <v>74</v>
      </c>
      <c r="AG265">
        <v>68</v>
      </c>
      <c r="AH265">
        <v>109</v>
      </c>
      <c r="AI265">
        <v>120</v>
      </c>
      <c r="AJ265">
        <v>1</v>
      </c>
      <c r="AK265">
        <v>13</v>
      </c>
      <c r="AL265" t="s">
        <v>966</v>
      </c>
      <c r="AM265" t="s">
        <v>967</v>
      </c>
      <c r="AN265" t="s">
        <v>968</v>
      </c>
      <c r="AO265" t="s">
        <v>3833</v>
      </c>
      <c r="AP265" t="s">
        <v>3834</v>
      </c>
      <c r="AQ265" t="s">
        <v>74</v>
      </c>
      <c r="AR265" t="s">
        <v>3835</v>
      </c>
      <c r="AS265" t="s">
        <v>3836</v>
      </c>
      <c r="AT265" t="s">
        <v>3773</v>
      </c>
      <c r="AU265">
        <v>1998</v>
      </c>
      <c r="AV265">
        <v>103</v>
      </c>
      <c r="AW265" t="s">
        <v>3837</v>
      </c>
      <c r="AX265" t="s">
        <v>74</v>
      </c>
      <c r="AY265" t="s">
        <v>74</v>
      </c>
      <c r="AZ265" t="s">
        <v>74</v>
      </c>
      <c r="BA265" t="s">
        <v>74</v>
      </c>
      <c r="BB265">
        <v>30741</v>
      </c>
      <c r="BC265">
        <v>30759</v>
      </c>
      <c r="BD265" t="s">
        <v>74</v>
      </c>
      <c r="BE265" t="s">
        <v>3838</v>
      </c>
      <c r="BF265" t="str">
        <f>HYPERLINK("http://dx.doi.org/10.1029/1998JC900001","http://dx.doi.org/10.1029/1998JC900001")</f>
        <v>http://dx.doi.org/10.1029/1998JC900001</v>
      </c>
      <c r="BG265" t="s">
        <v>74</v>
      </c>
      <c r="BH265" t="s">
        <v>74</v>
      </c>
      <c r="BI265">
        <v>19</v>
      </c>
      <c r="BJ265" t="s">
        <v>451</v>
      </c>
      <c r="BK265" t="s">
        <v>95</v>
      </c>
      <c r="BL265" t="s">
        <v>451</v>
      </c>
      <c r="BM265" t="s">
        <v>3839</v>
      </c>
      <c r="BN265" t="s">
        <v>74</v>
      </c>
      <c r="BO265" t="s">
        <v>1089</v>
      </c>
      <c r="BP265" t="s">
        <v>74</v>
      </c>
      <c r="BQ265" t="s">
        <v>74</v>
      </c>
      <c r="BR265" t="s">
        <v>98</v>
      </c>
      <c r="BS265" t="s">
        <v>3840</v>
      </c>
      <c r="BT265" t="str">
        <f>HYPERLINK("https%3A%2F%2Fwww.webofscience.com%2Fwos%2Fwoscc%2Ffull-record%2FWOS:000077974900009","View Full Record in Web of Science")</f>
        <v>View Full Record in Web of Science</v>
      </c>
    </row>
    <row r="266" spans="1:72" x14ac:dyDescent="0.15">
      <c r="A266" t="s">
        <v>72</v>
      </c>
      <c r="B266" t="s">
        <v>3841</v>
      </c>
      <c r="C266" t="s">
        <v>74</v>
      </c>
      <c r="D266" t="s">
        <v>74</v>
      </c>
      <c r="E266" t="s">
        <v>74</v>
      </c>
      <c r="F266" t="s">
        <v>3841</v>
      </c>
      <c r="G266" t="s">
        <v>74</v>
      </c>
      <c r="H266" t="s">
        <v>74</v>
      </c>
      <c r="I266" t="s">
        <v>3842</v>
      </c>
      <c r="J266" t="s">
        <v>3825</v>
      </c>
      <c r="K266" t="s">
        <v>74</v>
      </c>
      <c r="L266" t="s">
        <v>74</v>
      </c>
      <c r="M266" t="s">
        <v>77</v>
      </c>
      <c r="N266" t="s">
        <v>103</v>
      </c>
      <c r="O266" t="s">
        <v>74</v>
      </c>
      <c r="P266" t="s">
        <v>74</v>
      </c>
      <c r="Q266" t="s">
        <v>74</v>
      </c>
      <c r="R266" t="s">
        <v>74</v>
      </c>
      <c r="S266" t="s">
        <v>74</v>
      </c>
      <c r="T266" t="s">
        <v>74</v>
      </c>
      <c r="U266" t="s">
        <v>3843</v>
      </c>
      <c r="V266" t="s">
        <v>3844</v>
      </c>
      <c r="W266" t="s">
        <v>3845</v>
      </c>
      <c r="X266" t="s">
        <v>3846</v>
      </c>
      <c r="Y266" t="s">
        <v>3847</v>
      </c>
      <c r="Z266" t="s">
        <v>3848</v>
      </c>
      <c r="AA266" t="s">
        <v>74</v>
      </c>
      <c r="AB266" t="s">
        <v>74</v>
      </c>
      <c r="AC266" t="s">
        <v>74</v>
      </c>
      <c r="AD266" t="s">
        <v>74</v>
      </c>
      <c r="AE266" t="s">
        <v>74</v>
      </c>
      <c r="AF266" t="s">
        <v>74</v>
      </c>
      <c r="AG266">
        <v>40</v>
      </c>
      <c r="AH266">
        <v>18</v>
      </c>
      <c r="AI266">
        <v>19</v>
      </c>
      <c r="AJ266">
        <v>0</v>
      </c>
      <c r="AK266">
        <v>3</v>
      </c>
      <c r="AL266" t="s">
        <v>966</v>
      </c>
      <c r="AM266" t="s">
        <v>967</v>
      </c>
      <c r="AN266" t="s">
        <v>968</v>
      </c>
      <c r="AO266" t="s">
        <v>3833</v>
      </c>
      <c r="AP266" t="s">
        <v>3834</v>
      </c>
      <c r="AQ266" t="s">
        <v>74</v>
      </c>
      <c r="AR266" t="s">
        <v>3835</v>
      </c>
      <c r="AS266" t="s">
        <v>3836</v>
      </c>
      <c r="AT266" t="s">
        <v>3773</v>
      </c>
      <c r="AU266">
        <v>1998</v>
      </c>
      <c r="AV266">
        <v>103</v>
      </c>
      <c r="AW266" t="s">
        <v>3837</v>
      </c>
      <c r="AX266" t="s">
        <v>74</v>
      </c>
      <c r="AY266" t="s">
        <v>74</v>
      </c>
      <c r="AZ266" t="s">
        <v>74</v>
      </c>
      <c r="BA266" t="s">
        <v>74</v>
      </c>
      <c r="BB266">
        <v>30761</v>
      </c>
      <c r="BC266">
        <v>30771</v>
      </c>
      <c r="BD266" t="s">
        <v>74</v>
      </c>
      <c r="BE266" t="s">
        <v>3849</v>
      </c>
      <c r="BF266" t="str">
        <f>HYPERLINK("http://dx.doi.org/10.1029/98JC02146","http://dx.doi.org/10.1029/98JC02146")</f>
        <v>http://dx.doi.org/10.1029/98JC02146</v>
      </c>
      <c r="BG266" t="s">
        <v>74</v>
      </c>
      <c r="BH266" t="s">
        <v>74</v>
      </c>
      <c r="BI266">
        <v>11</v>
      </c>
      <c r="BJ266" t="s">
        <v>451</v>
      </c>
      <c r="BK266" t="s">
        <v>95</v>
      </c>
      <c r="BL266" t="s">
        <v>451</v>
      </c>
      <c r="BM266" t="s">
        <v>3839</v>
      </c>
      <c r="BN266" t="s">
        <v>74</v>
      </c>
      <c r="BO266" t="s">
        <v>1089</v>
      </c>
      <c r="BP266" t="s">
        <v>74</v>
      </c>
      <c r="BQ266" t="s">
        <v>74</v>
      </c>
      <c r="BR266" t="s">
        <v>98</v>
      </c>
      <c r="BS266" t="s">
        <v>3850</v>
      </c>
      <c r="BT266" t="str">
        <f>HYPERLINK("https%3A%2F%2Fwww.webofscience.com%2Fwos%2Fwoscc%2Ffull-record%2FWOS:000077974900010","View Full Record in Web of Science")</f>
        <v>View Full Record in Web of Science</v>
      </c>
    </row>
    <row r="267" spans="1:72" x14ac:dyDescent="0.15">
      <c r="A267" t="s">
        <v>72</v>
      </c>
      <c r="B267" t="s">
        <v>3851</v>
      </c>
      <c r="C267" t="s">
        <v>74</v>
      </c>
      <c r="D267" t="s">
        <v>74</v>
      </c>
      <c r="E267" t="s">
        <v>74</v>
      </c>
      <c r="F267" t="s">
        <v>3851</v>
      </c>
      <c r="G267" t="s">
        <v>74</v>
      </c>
      <c r="H267" t="s">
        <v>74</v>
      </c>
      <c r="I267" t="s">
        <v>3852</v>
      </c>
      <c r="J267" t="s">
        <v>3825</v>
      </c>
      <c r="K267" t="s">
        <v>74</v>
      </c>
      <c r="L267" t="s">
        <v>74</v>
      </c>
      <c r="M267" t="s">
        <v>77</v>
      </c>
      <c r="N267" t="s">
        <v>103</v>
      </c>
      <c r="O267" t="s">
        <v>74</v>
      </c>
      <c r="P267" t="s">
        <v>74</v>
      </c>
      <c r="Q267" t="s">
        <v>74</v>
      </c>
      <c r="R267" t="s">
        <v>74</v>
      </c>
      <c r="S267" t="s">
        <v>74</v>
      </c>
      <c r="T267" t="s">
        <v>74</v>
      </c>
      <c r="U267" t="s">
        <v>3853</v>
      </c>
      <c r="V267" t="s">
        <v>3854</v>
      </c>
      <c r="W267" t="s">
        <v>3855</v>
      </c>
      <c r="X267" t="s">
        <v>3856</v>
      </c>
      <c r="Y267" t="s">
        <v>3857</v>
      </c>
      <c r="Z267" t="s">
        <v>3858</v>
      </c>
      <c r="AA267" t="s">
        <v>74</v>
      </c>
      <c r="AB267" t="s">
        <v>74</v>
      </c>
      <c r="AC267" t="s">
        <v>74</v>
      </c>
      <c r="AD267" t="s">
        <v>74</v>
      </c>
      <c r="AE267" t="s">
        <v>74</v>
      </c>
      <c r="AF267" t="s">
        <v>74</v>
      </c>
      <c r="AG267">
        <v>69</v>
      </c>
      <c r="AH267">
        <v>137</v>
      </c>
      <c r="AI267">
        <v>147</v>
      </c>
      <c r="AJ267">
        <v>0</v>
      </c>
      <c r="AK267">
        <v>6</v>
      </c>
      <c r="AL267" t="s">
        <v>966</v>
      </c>
      <c r="AM267" t="s">
        <v>967</v>
      </c>
      <c r="AN267" t="s">
        <v>968</v>
      </c>
      <c r="AO267" t="s">
        <v>3833</v>
      </c>
      <c r="AP267" t="s">
        <v>3834</v>
      </c>
      <c r="AQ267" t="s">
        <v>74</v>
      </c>
      <c r="AR267" t="s">
        <v>3835</v>
      </c>
      <c r="AS267" t="s">
        <v>3836</v>
      </c>
      <c r="AT267" t="s">
        <v>3773</v>
      </c>
      <c r="AU267">
        <v>1998</v>
      </c>
      <c r="AV267">
        <v>103</v>
      </c>
      <c r="AW267" t="s">
        <v>3837</v>
      </c>
      <c r="AX267" t="s">
        <v>74</v>
      </c>
      <c r="AY267" t="s">
        <v>74</v>
      </c>
      <c r="AZ267" t="s">
        <v>74</v>
      </c>
      <c r="BA267" t="s">
        <v>74</v>
      </c>
      <c r="BB267">
        <v>30825</v>
      </c>
      <c r="BC267">
        <v>30853</v>
      </c>
      <c r="BD267" t="s">
        <v>74</v>
      </c>
      <c r="BE267" t="s">
        <v>3859</v>
      </c>
      <c r="BF267" t="str">
        <f>HYPERLINK("http://dx.doi.org/10.1029/1998JC900013","http://dx.doi.org/10.1029/1998JC900013")</f>
        <v>http://dx.doi.org/10.1029/1998JC900013</v>
      </c>
      <c r="BG267" t="s">
        <v>74</v>
      </c>
      <c r="BH267" t="s">
        <v>74</v>
      </c>
      <c r="BI267">
        <v>29</v>
      </c>
      <c r="BJ267" t="s">
        <v>451</v>
      </c>
      <c r="BK267" t="s">
        <v>95</v>
      </c>
      <c r="BL267" t="s">
        <v>451</v>
      </c>
      <c r="BM267" t="s">
        <v>3839</v>
      </c>
      <c r="BN267" t="s">
        <v>74</v>
      </c>
      <c r="BO267" t="s">
        <v>1089</v>
      </c>
      <c r="BP267" t="s">
        <v>74</v>
      </c>
      <c r="BQ267" t="s">
        <v>74</v>
      </c>
      <c r="BR267" t="s">
        <v>98</v>
      </c>
      <c r="BS267" t="s">
        <v>3860</v>
      </c>
      <c r="BT267" t="str">
        <f>HYPERLINK("https%3A%2F%2Fwww.webofscience.com%2Fwos%2Fwoscc%2Ffull-record%2FWOS:000077974900014","View Full Record in Web of Science")</f>
        <v>View Full Record in Web of Science</v>
      </c>
    </row>
    <row r="268" spans="1:72" x14ac:dyDescent="0.15">
      <c r="A268" t="s">
        <v>72</v>
      </c>
      <c r="B268" t="s">
        <v>485</v>
      </c>
      <c r="C268" t="s">
        <v>74</v>
      </c>
      <c r="D268" t="s">
        <v>74</v>
      </c>
      <c r="E268" t="s">
        <v>74</v>
      </c>
      <c r="F268" t="s">
        <v>485</v>
      </c>
      <c r="G268" t="s">
        <v>74</v>
      </c>
      <c r="H268" t="s">
        <v>74</v>
      </c>
      <c r="I268" t="s">
        <v>3861</v>
      </c>
      <c r="J268" t="s">
        <v>3825</v>
      </c>
      <c r="K268" t="s">
        <v>74</v>
      </c>
      <c r="L268" t="s">
        <v>74</v>
      </c>
      <c r="M268" t="s">
        <v>77</v>
      </c>
      <c r="N268" t="s">
        <v>103</v>
      </c>
      <c r="O268" t="s">
        <v>74</v>
      </c>
      <c r="P268" t="s">
        <v>74</v>
      </c>
      <c r="Q268" t="s">
        <v>74</v>
      </c>
      <c r="R268" t="s">
        <v>74</v>
      </c>
      <c r="S268" t="s">
        <v>74</v>
      </c>
      <c r="T268" t="s">
        <v>74</v>
      </c>
      <c r="U268" t="s">
        <v>3862</v>
      </c>
      <c r="V268" t="s">
        <v>3863</v>
      </c>
      <c r="W268" t="s">
        <v>3864</v>
      </c>
      <c r="X268" t="s">
        <v>3865</v>
      </c>
      <c r="Y268" t="s">
        <v>489</v>
      </c>
      <c r="Z268" t="s">
        <v>490</v>
      </c>
      <c r="AA268" t="s">
        <v>74</v>
      </c>
      <c r="AB268" t="s">
        <v>74</v>
      </c>
      <c r="AC268" t="s">
        <v>74</v>
      </c>
      <c r="AD268" t="s">
        <v>74</v>
      </c>
      <c r="AE268" t="s">
        <v>74</v>
      </c>
      <c r="AF268" t="s">
        <v>74</v>
      </c>
      <c r="AG268">
        <v>64</v>
      </c>
      <c r="AH268">
        <v>14</v>
      </c>
      <c r="AI268">
        <v>14</v>
      </c>
      <c r="AJ268">
        <v>0</v>
      </c>
      <c r="AK268">
        <v>1</v>
      </c>
      <c r="AL268" t="s">
        <v>966</v>
      </c>
      <c r="AM268" t="s">
        <v>967</v>
      </c>
      <c r="AN268" t="s">
        <v>968</v>
      </c>
      <c r="AO268" t="s">
        <v>3833</v>
      </c>
      <c r="AP268" t="s">
        <v>3834</v>
      </c>
      <c r="AQ268" t="s">
        <v>74</v>
      </c>
      <c r="AR268" t="s">
        <v>3835</v>
      </c>
      <c r="AS268" t="s">
        <v>3836</v>
      </c>
      <c r="AT268" t="s">
        <v>3773</v>
      </c>
      <c r="AU268">
        <v>1998</v>
      </c>
      <c r="AV268">
        <v>103</v>
      </c>
      <c r="AW268" t="s">
        <v>3837</v>
      </c>
      <c r="AX268" t="s">
        <v>74</v>
      </c>
      <c r="AY268" t="s">
        <v>74</v>
      </c>
      <c r="AZ268" t="s">
        <v>74</v>
      </c>
      <c r="BA268" t="s">
        <v>74</v>
      </c>
      <c r="BB268">
        <v>30941</v>
      </c>
      <c r="BC268">
        <v>30971</v>
      </c>
      <c r="BD268" t="s">
        <v>74</v>
      </c>
      <c r="BE268" t="s">
        <v>3866</v>
      </c>
      <c r="BF268" t="str">
        <f>HYPERLINK("http://dx.doi.org/10.1029/1998JC900008","http://dx.doi.org/10.1029/1998JC900008")</f>
        <v>http://dx.doi.org/10.1029/1998JC900008</v>
      </c>
      <c r="BG268" t="s">
        <v>74</v>
      </c>
      <c r="BH268" t="s">
        <v>74</v>
      </c>
      <c r="BI268">
        <v>31</v>
      </c>
      <c r="BJ268" t="s">
        <v>451</v>
      </c>
      <c r="BK268" t="s">
        <v>95</v>
      </c>
      <c r="BL268" t="s">
        <v>451</v>
      </c>
      <c r="BM268" t="s">
        <v>3839</v>
      </c>
      <c r="BN268" t="s">
        <v>74</v>
      </c>
      <c r="BO268" t="s">
        <v>1089</v>
      </c>
      <c r="BP268" t="s">
        <v>74</v>
      </c>
      <c r="BQ268" t="s">
        <v>74</v>
      </c>
      <c r="BR268" t="s">
        <v>98</v>
      </c>
      <c r="BS268" t="s">
        <v>3867</v>
      </c>
      <c r="BT268" t="str">
        <f>HYPERLINK("https%3A%2F%2Fwww.webofscience.com%2Fwos%2Fwoscc%2Ffull-record%2FWOS:000077974900020","View Full Record in Web of Science")</f>
        <v>View Full Record in Web of Science</v>
      </c>
    </row>
    <row r="269" spans="1:72" x14ac:dyDescent="0.15">
      <c r="A269" t="s">
        <v>72</v>
      </c>
      <c r="B269" t="s">
        <v>3868</v>
      </c>
      <c r="C269" t="s">
        <v>74</v>
      </c>
      <c r="D269" t="s">
        <v>74</v>
      </c>
      <c r="E269" t="s">
        <v>74</v>
      </c>
      <c r="F269" t="s">
        <v>3868</v>
      </c>
      <c r="G269" t="s">
        <v>74</v>
      </c>
      <c r="H269" t="s">
        <v>74</v>
      </c>
      <c r="I269" t="s">
        <v>3869</v>
      </c>
      <c r="J269" t="s">
        <v>3825</v>
      </c>
      <c r="K269" t="s">
        <v>74</v>
      </c>
      <c r="L269" t="s">
        <v>74</v>
      </c>
      <c r="M269" t="s">
        <v>77</v>
      </c>
      <c r="N269" t="s">
        <v>103</v>
      </c>
      <c r="O269" t="s">
        <v>74</v>
      </c>
      <c r="P269" t="s">
        <v>74</v>
      </c>
      <c r="Q269" t="s">
        <v>74</v>
      </c>
      <c r="R269" t="s">
        <v>74</v>
      </c>
      <c r="S269" t="s">
        <v>74</v>
      </c>
      <c r="T269" t="s">
        <v>74</v>
      </c>
      <c r="U269" t="s">
        <v>3870</v>
      </c>
      <c r="V269" t="s">
        <v>3871</v>
      </c>
      <c r="W269" t="s">
        <v>3872</v>
      </c>
      <c r="X269" t="s">
        <v>74</v>
      </c>
      <c r="Y269" t="s">
        <v>3873</v>
      </c>
      <c r="Z269" t="s">
        <v>3874</v>
      </c>
      <c r="AA269" t="s">
        <v>74</v>
      </c>
      <c r="AB269" t="s">
        <v>74</v>
      </c>
      <c r="AC269" t="s">
        <v>74</v>
      </c>
      <c r="AD269" t="s">
        <v>74</v>
      </c>
      <c r="AE269" t="s">
        <v>74</v>
      </c>
      <c r="AF269" t="s">
        <v>74</v>
      </c>
      <c r="AG269">
        <v>45</v>
      </c>
      <c r="AH269">
        <v>9</v>
      </c>
      <c r="AI269">
        <v>10</v>
      </c>
      <c r="AJ269">
        <v>0</v>
      </c>
      <c r="AK269">
        <v>1</v>
      </c>
      <c r="AL269" t="s">
        <v>966</v>
      </c>
      <c r="AM269" t="s">
        <v>967</v>
      </c>
      <c r="AN269" t="s">
        <v>968</v>
      </c>
      <c r="AO269" t="s">
        <v>3833</v>
      </c>
      <c r="AP269" t="s">
        <v>3834</v>
      </c>
      <c r="AQ269" t="s">
        <v>74</v>
      </c>
      <c r="AR269" t="s">
        <v>3835</v>
      </c>
      <c r="AS269" t="s">
        <v>3836</v>
      </c>
      <c r="AT269" t="s">
        <v>3773</v>
      </c>
      <c r="AU269">
        <v>1998</v>
      </c>
      <c r="AV269">
        <v>103</v>
      </c>
      <c r="AW269" t="s">
        <v>3837</v>
      </c>
      <c r="AX269" t="s">
        <v>74</v>
      </c>
      <c r="AY269" t="s">
        <v>74</v>
      </c>
      <c r="AZ269" t="s">
        <v>74</v>
      </c>
      <c r="BA269" t="s">
        <v>74</v>
      </c>
      <c r="BB269">
        <v>30985</v>
      </c>
      <c r="BC269">
        <v>31002</v>
      </c>
      <c r="BD269" t="s">
        <v>74</v>
      </c>
      <c r="BE269" t="s">
        <v>3875</v>
      </c>
      <c r="BF269" t="str">
        <f>HYPERLINK("http://dx.doi.org/10.1029/98JC02065","http://dx.doi.org/10.1029/98JC02065")</f>
        <v>http://dx.doi.org/10.1029/98JC02065</v>
      </c>
      <c r="BG269" t="s">
        <v>74</v>
      </c>
      <c r="BH269" t="s">
        <v>74</v>
      </c>
      <c r="BI269">
        <v>18</v>
      </c>
      <c r="BJ269" t="s">
        <v>451</v>
      </c>
      <c r="BK269" t="s">
        <v>95</v>
      </c>
      <c r="BL269" t="s">
        <v>451</v>
      </c>
      <c r="BM269" t="s">
        <v>3839</v>
      </c>
      <c r="BN269" t="s">
        <v>74</v>
      </c>
      <c r="BO269" t="s">
        <v>1999</v>
      </c>
      <c r="BP269" t="s">
        <v>74</v>
      </c>
      <c r="BQ269" t="s">
        <v>74</v>
      </c>
      <c r="BR269" t="s">
        <v>98</v>
      </c>
      <c r="BS269" t="s">
        <v>3876</v>
      </c>
      <c r="BT269" t="str">
        <f>HYPERLINK("https%3A%2F%2Fwww.webofscience.com%2Fwos%2Fwoscc%2Ffull-record%2FWOS:000077974900022","View Full Record in Web of Science")</f>
        <v>View Full Record in Web of Science</v>
      </c>
    </row>
    <row r="270" spans="1:72" x14ac:dyDescent="0.15">
      <c r="A270" t="s">
        <v>72</v>
      </c>
      <c r="B270" t="s">
        <v>3877</v>
      </c>
      <c r="C270" t="s">
        <v>74</v>
      </c>
      <c r="D270" t="s">
        <v>74</v>
      </c>
      <c r="E270" t="s">
        <v>74</v>
      </c>
      <c r="F270" t="s">
        <v>3877</v>
      </c>
      <c r="G270" t="s">
        <v>74</v>
      </c>
      <c r="H270" t="s">
        <v>74</v>
      </c>
      <c r="I270" t="s">
        <v>3878</v>
      </c>
      <c r="J270" t="s">
        <v>3879</v>
      </c>
      <c r="K270" t="s">
        <v>74</v>
      </c>
      <c r="L270" t="s">
        <v>74</v>
      </c>
      <c r="M270" t="s">
        <v>77</v>
      </c>
      <c r="N270" t="s">
        <v>123</v>
      </c>
      <c r="O270" t="s">
        <v>3880</v>
      </c>
      <c r="P270" t="s">
        <v>3881</v>
      </c>
      <c r="Q270" t="s">
        <v>3882</v>
      </c>
      <c r="R270" t="s">
        <v>74</v>
      </c>
      <c r="S270" t="s">
        <v>74</v>
      </c>
      <c r="T270" t="s">
        <v>3883</v>
      </c>
      <c r="U270" t="s">
        <v>3884</v>
      </c>
      <c r="V270" t="s">
        <v>3885</v>
      </c>
      <c r="W270" t="s">
        <v>3886</v>
      </c>
      <c r="X270" t="s">
        <v>3887</v>
      </c>
      <c r="Y270" t="s">
        <v>3888</v>
      </c>
      <c r="Z270" t="s">
        <v>3889</v>
      </c>
      <c r="AA270" t="s">
        <v>74</v>
      </c>
      <c r="AB270" t="s">
        <v>74</v>
      </c>
      <c r="AC270" t="s">
        <v>74</v>
      </c>
      <c r="AD270" t="s">
        <v>74</v>
      </c>
      <c r="AE270" t="s">
        <v>74</v>
      </c>
      <c r="AF270" t="s">
        <v>74</v>
      </c>
      <c r="AG270">
        <v>23</v>
      </c>
      <c r="AH270">
        <v>8</v>
      </c>
      <c r="AI270">
        <v>8</v>
      </c>
      <c r="AJ270">
        <v>1</v>
      </c>
      <c r="AK270">
        <v>2</v>
      </c>
      <c r="AL270" t="s">
        <v>1037</v>
      </c>
      <c r="AM270" t="s">
        <v>1038</v>
      </c>
      <c r="AN270" t="s">
        <v>1039</v>
      </c>
      <c r="AO270" t="s">
        <v>3890</v>
      </c>
      <c r="AP270" t="s">
        <v>3891</v>
      </c>
      <c r="AQ270" t="s">
        <v>74</v>
      </c>
      <c r="AR270" t="s">
        <v>3892</v>
      </c>
      <c r="AS270" t="s">
        <v>3893</v>
      </c>
      <c r="AT270" t="s">
        <v>3894</v>
      </c>
      <c r="AU270">
        <v>1998</v>
      </c>
      <c r="AV270">
        <v>44</v>
      </c>
      <c r="AW270" t="s">
        <v>412</v>
      </c>
      <c r="AX270" t="s">
        <v>74</v>
      </c>
      <c r="AY270" t="s">
        <v>74</v>
      </c>
      <c r="AZ270" t="s">
        <v>74</v>
      </c>
      <c r="BA270" t="s">
        <v>74</v>
      </c>
      <c r="BB270">
        <v>403</v>
      </c>
      <c r="BC270">
        <v>409</v>
      </c>
      <c r="BD270" t="s">
        <v>74</v>
      </c>
      <c r="BE270" t="s">
        <v>3895</v>
      </c>
      <c r="BF270" t="str">
        <f>HYPERLINK("http://dx.doi.org/10.1016/S0169-7439(98)00072-0","http://dx.doi.org/10.1016/S0169-7439(98)00072-0")</f>
        <v>http://dx.doi.org/10.1016/S0169-7439(98)00072-0</v>
      </c>
      <c r="BG270" t="s">
        <v>74</v>
      </c>
      <c r="BH270" t="s">
        <v>74</v>
      </c>
      <c r="BI270">
        <v>7</v>
      </c>
      <c r="BJ270" t="s">
        <v>3896</v>
      </c>
      <c r="BK270" t="s">
        <v>144</v>
      </c>
      <c r="BL270" t="s">
        <v>3897</v>
      </c>
      <c r="BM270" t="s">
        <v>3898</v>
      </c>
      <c r="BN270" t="s">
        <v>74</v>
      </c>
      <c r="BO270" t="s">
        <v>74</v>
      </c>
      <c r="BP270" t="s">
        <v>74</v>
      </c>
      <c r="BQ270" t="s">
        <v>74</v>
      </c>
      <c r="BR270" t="s">
        <v>98</v>
      </c>
      <c r="BS270" t="s">
        <v>3899</v>
      </c>
      <c r="BT270" t="str">
        <f>HYPERLINK("https%3A%2F%2Fwww.webofscience.com%2Fwos%2Fwoscc%2Ffull-record%2FWOS:000077949300033","View Full Record in Web of Science")</f>
        <v>View Full Record in Web of Science</v>
      </c>
    </row>
    <row r="271" spans="1:72" x14ac:dyDescent="0.15">
      <c r="A271" t="s">
        <v>72</v>
      </c>
      <c r="B271" t="s">
        <v>3900</v>
      </c>
      <c r="C271" t="s">
        <v>74</v>
      </c>
      <c r="D271" t="s">
        <v>74</v>
      </c>
      <c r="E271" t="s">
        <v>74</v>
      </c>
      <c r="F271" t="s">
        <v>3900</v>
      </c>
      <c r="G271" t="s">
        <v>74</v>
      </c>
      <c r="H271" t="s">
        <v>74</v>
      </c>
      <c r="I271" t="s">
        <v>3901</v>
      </c>
      <c r="J271" t="s">
        <v>3902</v>
      </c>
      <c r="K271" t="s">
        <v>74</v>
      </c>
      <c r="L271" t="s">
        <v>74</v>
      </c>
      <c r="M271" t="s">
        <v>77</v>
      </c>
      <c r="N271" t="s">
        <v>78</v>
      </c>
      <c r="O271" t="s">
        <v>74</v>
      </c>
      <c r="P271" t="s">
        <v>74</v>
      </c>
      <c r="Q271" t="s">
        <v>74</v>
      </c>
      <c r="R271" t="s">
        <v>74</v>
      </c>
      <c r="S271" t="s">
        <v>74</v>
      </c>
      <c r="T271" t="s">
        <v>74</v>
      </c>
      <c r="U271" t="s">
        <v>3903</v>
      </c>
      <c r="V271" t="s">
        <v>3904</v>
      </c>
      <c r="W271" t="s">
        <v>3905</v>
      </c>
      <c r="X271" t="s">
        <v>3906</v>
      </c>
      <c r="Y271" t="s">
        <v>1273</v>
      </c>
      <c r="Z271" t="s">
        <v>3907</v>
      </c>
      <c r="AA271" t="s">
        <v>3908</v>
      </c>
      <c r="AB271" t="s">
        <v>3909</v>
      </c>
      <c r="AC271" t="s">
        <v>74</v>
      </c>
      <c r="AD271" t="s">
        <v>74</v>
      </c>
      <c r="AE271" t="s">
        <v>74</v>
      </c>
      <c r="AF271" t="s">
        <v>74</v>
      </c>
      <c r="AG271">
        <v>103</v>
      </c>
      <c r="AH271">
        <v>27</v>
      </c>
      <c r="AI271">
        <v>28</v>
      </c>
      <c r="AJ271">
        <v>0</v>
      </c>
      <c r="AK271">
        <v>13</v>
      </c>
      <c r="AL271" t="s">
        <v>3813</v>
      </c>
      <c r="AM271" t="s">
        <v>967</v>
      </c>
      <c r="AN271" t="s">
        <v>3814</v>
      </c>
      <c r="AO271" t="s">
        <v>3910</v>
      </c>
      <c r="AP271" t="s">
        <v>3911</v>
      </c>
      <c r="AQ271" t="s">
        <v>74</v>
      </c>
      <c r="AR271" t="s">
        <v>3912</v>
      </c>
      <c r="AS271" t="s">
        <v>3913</v>
      </c>
      <c r="AT271" t="s">
        <v>3914</v>
      </c>
      <c r="AU271">
        <v>1998</v>
      </c>
      <c r="AV271">
        <v>102</v>
      </c>
      <c r="AW271">
        <v>50</v>
      </c>
      <c r="AX271" t="s">
        <v>74</v>
      </c>
      <c r="AY271" t="s">
        <v>74</v>
      </c>
      <c r="AZ271" t="s">
        <v>74</v>
      </c>
      <c r="BA271" t="s">
        <v>74</v>
      </c>
      <c r="BB271">
        <v>10280</v>
      </c>
      <c r="BC271">
        <v>10288</v>
      </c>
      <c r="BD271" t="s">
        <v>74</v>
      </c>
      <c r="BE271" t="s">
        <v>3915</v>
      </c>
      <c r="BF271" t="str">
        <f>HYPERLINK("http://dx.doi.org/10.1021/jp982627y","http://dx.doi.org/10.1021/jp982627y")</f>
        <v>http://dx.doi.org/10.1021/jp982627y</v>
      </c>
      <c r="BG271" t="s">
        <v>74</v>
      </c>
      <c r="BH271" t="s">
        <v>74</v>
      </c>
      <c r="BI271">
        <v>9</v>
      </c>
      <c r="BJ271" t="s">
        <v>3654</v>
      </c>
      <c r="BK271" t="s">
        <v>95</v>
      </c>
      <c r="BL271" t="s">
        <v>3655</v>
      </c>
      <c r="BM271" t="s">
        <v>3916</v>
      </c>
      <c r="BN271" t="s">
        <v>74</v>
      </c>
      <c r="BO271" t="s">
        <v>74</v>
      </c>
      <c r="BP271" t="s">
        <v>74</v>
      </c>
      <c r="BQ271" t="s">
        <v>74</v>
      </c>
      <c r="BR271" t="s">
        <v>98</v>
      </c>
      <c r="BS271" t="s">
        <v>3917</v>
      </c>
      <c r="BT271" t="str">
        <f>HYPERLINK("https%3A%2F%2Fwww.webofscience.com%2Fwos%2Fwoscc%2Ffull-record%2FWOS:000077543700013","View Full Record in Web of Science")</f>
        <v>View Full Record in Web of Science</v>
      </c>
    </row>
    <row r="272" spans="1:72" x14ac:dyDescent="0.15">
      <c r="A272" t="s">
        <v>72</v>
      </c>
      <c r="B272" t="s">
        <v>3918</v>
      </c>
      <c r="C272" t="s">
        <v>74</v>
      </c>
      <c r="D272" t="s">
        <v>74</v>
      </c>
      <c r="E272" t="s">
        <v>74</v>
      </c>
      <c r="F272" t="s">
        <v>3918</v>
      </c>
      <c r="G272" t="s">
        <v>74</v>
      </c>
      <c r="H272" t="s">
        <v>74</v>
      </c>
      <c r="I272" t="s">
        <v>3919</v>
      </c>
      <c r="J272" t="s">
        <v>3728</v>
      </c>
      <c r="K272" t="s">
        <v>74</v>
      </c>
      <c r="L272" t="s">
        <v>74</v>
      </c>
      <c r="M272" t="s">
        <v>77</v>
      </c>
      <c r="N272" t="s">
        <v>103</v>
      </c>
      <c r="O272" t="s">
        <v>74</v>
      </c>
      <c r="P272" t="s">
        <v>74</v>
      </c>
      <c r="Q272" t="s">
        <v>74</v>
      </c>
      <c r="R272" t="s">
        <v>74</v>
      </c>
      <c r="S272" t="s">
        <v>74</v>
      </c>
      <c r="T272" t="s">
        <v>74</v>
      </c>
      <c r="U272" t="s">
        <v>3920</v>
      </c>
      <c r="V272" t="s">
        <v>3921</v>
      </c>
      <c r="W272" t="s">
        <v>3922</v>
      </c>
      <c r="X272" t="s">
        <v>3923</v>
      </c>
      <c r="Y272" t="s">
        <v>3924</v>
      </c>
      <c r="Z272" t="s">
        <v>3925</v>
      </c>
      <c r="AA272" t="s">
        <v>3926</v>
      </c>
      <c r="AB272" t="s">
        <v>3927</v>
      </c>
      <c r="AC272" t="s">
        <v>74</v>
      </c>
      <c r="AD272" t="s">
        <v>74</v>
      </c>
      <c r="AE272" t="s">
        <v>74</v>
      </c>
      <c r="AF272" t="s">
        <v>74</v>
      </c>
      <c r="AG272">
        <v>40</v>
      </c>
      <c r="AH272">
        <v>20</v>
      </c>
      <c r="AI272">
        <v>24</v>
      </c>
      <c r="AJ272">
        <v>0</v>
      </c>
      <c r="AK272">
        <v>0</v>
      </c>
      <c r="AL272" t="s">
        <v>3735</v>
      </c>
      <c r="AM272" t="s">
        <v>1740</v>
      </c>
      <c r="AN272" t="s">
        <v>3928</v>
      </c>
      <c r="AO272" t="s">
        <v>3738</v>
      </c>
      <c r="AP272" t="s">
        <v>74</v>
      </c>
      <c r="AQ272" t="s">
        <v>74</v>
      </c>
      <c r="AR272" t="s">
        <v>3740</v>
      </c>
      <c r="AS272" t="s">
        <v>3741</v>
      </c>
      <c r="AT272" t="s">
        <v>3929</v>
      </c>
      <c r="AU272">
        <v>1998</v>
      </c>
      <c r="AV272">
        <v>273</v>
      </c>
      <c r="AW272">
        <v>49</v>
      </c>
      <c r="AX272" t="s">
        <v>74</v>
      </c>
      <c r="AY272" t="s">
        <v>74</v>
      </c>
      <c r="AZ272" t="s">
        <v>74</v>
      </c>
      <c r="BA272" t="s">
        <v>74</v>
      </c>
      <c r="BB272">
        <v>32452</v>
      </c>
      <c r="BC272">
        <v>32459</v>
      </c>
      <c r="BD272" t="s">
        <v>74</v>
      </c>
      <c r="BE272" t="s">
        <v>3930</v>
      </c>
      <c r="BF272" t="str">
        <f>HYPERLINK("http://dx.doi.org/10.1074/jbc.273.49.32452","http://dx.doi.org/10.1074/jbc.273.49.32452")</f>
        <v>http://dx.doi.org/10.1074/jbc.273.49.32452</v>
      </c>
      <c r="BG272" t="s">
        <v>74</v>
      </c>
      <c r="BH272" t="s">
        <v>74</v>
      </c>
      <c r="BI272">
        <v>8</v>
      </c>
      <c r="BJ272" t="s">
        <v>3744</v>
      </c>
      <c r="BK272" t="s">
        <v>95</v>
      </c>
      <c r="BL272" t="s">
        <v>3744</v>
      </c>
      <c r="BM272" t="s">
        <v>3931</v>
      </c>
      <c r="BN272">
        <v>9829976</v>
      </c>
      <c r="BO272" t="s">
        <v>3932</v>
      </c>
      <c r="BP272" t="s">
        <v>74</v>
      </c>
      <c r="BQ272" t="s">
        <v>74</v>
      </c>
      <c r="BR272" t="s">
        <v>98</v>
      </c>
      <c r="BS272" t="s">
        <v>3933</v>
      </c>
      <c r="BT272" t="str">
        <f>HYPERLINK("https%3A%2F%2Fwww.webofscience.com%2Fwos%2Fwoscc%2Ffull-record%2FWOS:000077329100015","View Full Record in Web of Science")</f>
        <v>View Full Record in Web of Science</v>
      </c>
    </row>
    <row r="273" spans="1:72" x14ac:dyDescent="0.15">
      <c r="A273" t="s">
        <v>72</v>
      </c>
      <c r="B273" t="s">
        <v>3934</v>
      </c>
      <c r="C273" t="s">
        <v>74</v>
      </c>
      <c r="D273" t="s">
        <v>74</v>
      </c>
      <c r="E273" t="s">
        <v>74</v>
      </c>
      <c r="F273" t="s">
        <v>3934</v>
      </c>
      <c r="G273" t="s">
        <v>74</v>
      </c>
      <c r="H273" t="s">
        <v>74</v>
      </c>
      <c r="I273" t="s">
        <v>3935</v>
      </c>
      <c r="J273" t="s">
        <v>3936</v>
      </c>
      <c r="K273" t="s">
        <v>74</v>
      </c>
      <c r="L273" t="s">
        <v>74</v>
      </c>
      <c r="M273" t="s">
        <v>77</v>
      </c>
      <c r="N273" t="s">
        <v>103</v>
      </c>
      <c r="O273" t="s">
        <v>74</v>
      </c>
      <c r="P273" t="s">
        <v>74</v>
      </c>
      <c r="Q273" t="s">
        <v>74</v>
      </c>
      <c r="R273" t="s">
        <v>74</v>
      </c>
      <c r="S273" t="s">
        <v>74</v>
      </c>
      <c r="T273" t="s">
        <v>3937</v>
      </c>
      <c r="U273" t="s">
        <v>3938</v>
      </c>
      <c r="V273" t="s">
        <v>3939</v>
      </c>
      <c r="W273" t="s">
        <v>3940</v>
      </c>
      <c r="X273" t="s">
        <v>3941</v>
      </c>
      <c r="Y273" t="s">
        <v>3942</v>
      </c>
      <c r="Z273" t="s">
        <v>74</v>
      </c>
      <c r="AA273" t="s">
        <v>74</v>
      </c>
      <c r="AB273" t="s">
        <v>74</v>
      </c>
      <c r="AC273" t="s">
        <v>74</v>
      </c>
      <c r="AD273" t="s">
        <v>74</v>
      </c>
      <c r="AE273" t="s">
        <v>74</v>
      </c>
      <c r="AF273" t="s">
        <v>74</v>
      </c>
      <c r="AG273">
        <v>13</v>
      </c>
      <c r="AH273">
        <v>9</v>
      </c>
      <c r="AI273">
        <v>9</v>
      </c>
      <c r="AJ273">
        <v>0</v>
      </c>
      <c r="AK273">
        <v>0</v>
      </c>
      <c r="AL273" t="s">
        <v>887</v>
      </c>
      <c r="AM273" t="s">
        <v>278</v>
      </c>
      <c r="AN273" t="s">
        <v>888</v>
      </c>
      <c r="AO273" t="s">
        <v>3943</v>
      </c>
      <c r="AP273" t="s">
        <v>74</v>
      </c>
      <c r="AQ273" t="s">
        <v>74</v>
      </c>
      <c r="AR273" t="s">
        <v>3944</v>
      </c>
      <c r="AS273" t="s">
        <v>3945</v>
      </c>
      <c r="AT273" t="s">
        <v>3946</v>
      </c>
      <c r="AU273">
        <v>1998</v>
      </c>
      <c r="AV273">
        <v>16</v>
      </c>
      <c r="AW273">
        <v>12</v>
      </c>
      <c r="AX273" t="s">
        <v>74</v>
      </c>
      <c r="AY273" t="s">
        <v>74</v>
      </c>
      <c r="AZ273" t="s">
        <v>74</v>
      </c>
      <c r="BA273" t="s">
        <v>74</v>
      </c>
      <c r="BB273">
        <v>1589</v>
      </c>
      <c r="BC273">
        <v>1598</v>
      </c>
      <c r="BD273" t="s">
        <v>74</v>
      </c>
      <c r="BE273" t="s">
        <v>3947</v>
      </c>
      <c r="BF273" t="str">
        <f>HYPERLINK("http://dx.doi.org/10.1007/s005850050727","http://dx.doi.org/10.1007/s005850050727")</f>
        <v>http://dx.doi.org/10.1007/s005850050727</v>
      </c>
      <c r="BG273" t="s">
        <v>74</v>
      </c>
      <c r="BH273" t="s">
        <v>74</v>
      </c>
      <c r="BI273">
        <v>10</v>
      </c>
      <c r="BJ273" t="s">
        <v>3948</v>
      </c>
      <c r="BK273" t="s">
        <v>95</v>
      </c>
      <c r="BL273" t="s">
        <v>3949</v>
      </c>
      <c r="BM273" t="s">
        <v>3950</v>
      </c>
      <c r="BN273" t="s">
        <v>74</v>
      </c>
      <c r="BO273" t="s">
        <v>3951</v>
      </c>
      <c r="BP273" t="s">
        <v>74</v>
      </c>
      <c r="BQ273" t="s">
        <v>74</v>
      </c>
      <c r="BR273" t="s">
        <v>98</v>
      </c>
      <c r="BS273" t="s">
        <v>3952</v>
      </c>
      <c r="BT273" t="str">
        <f>HYPERLINK("https%3A%2F%2Fwww.webofscience.com%2Fwos%2Fwoscc%2Ffull-record%2FWOS:000077834000009","View Full Record in Web of Science")</f>
        <v>View Full Record in Web of Science</v>
      </c>
    </row>
    <row r="274" spans="1:72" x14ac:dyDescent="0.15">
      <c r="A274" t="s">
        <v>72</v>
      </c>
      <c r="B274" t="s">
        <v>3953</v>
      </c>
      <c r="C274" t="s">
        <v>74</v>
      </c>
      <c r="D274" t="s">
        <v>74</v>
      </c>
      <c r="E274" t="s">
        <v>74</v>
      </c>
      <c r="F274" t="s">
        <v>3953</v>
      </c>
      <c r="G274" t="s">
        <v>74</v>
      </c>
      <c r="H274" t="s">
        <v>74</v>
      </c>
      <c r="I274" t="s">
        <v>3954</v>
      </c>
      <c r="J274" t="s">
        <v>3955</v>
      </c>
      <c r="K274" t="s">
        <v>74</v>
      </c>
      <c r="L274" t="s">
        <v>74</v>
      </c>
      <c r="M274" t="s">
        <v>77</v>
      </c>
      <c r="N274" t="s">
        <v>2667</v>
      </c>
      <c r="O274" t="s">
        <v>74</v>
      </c>
      <c r="P274" t="s">
        <v>74</v>
      </c>
      <c r="Q274" t="s">
        <v>74</v>
      </c>
      <c r="R274" t="s">
        <v>74</v>
      </c>
      <c r="S274" t="s">
        <v>74</v>
      </c>
      <c r="T274" t="s">
        <v>74</v>
      </c>
      <c r="U274" t="s">
        <v>74</v>
      </c>
      <c r="V274" t="s">
        <v>74</v>
      </c>
      <c r="W274" t="s">
        <v>74</v>
      </c>
      <c r="X274" t="s">
        <v>74</v>
      </c>
      <c r="Y274" t="s">
        <v>74</v>
      </c>
      <c r="Z274" t="s">
        <v>74</v>
      </c>
      <c r="AA274" t="s">
        <v>74</v>
      </c>
      <c r="AB274" t="s">
        <v>74</v>
      </c>
      <c r="AC274" t="s">
        <v>74</v>
      </c>
      <c r="AD274" t="s">
        <v>74</v>
      </c>
      <c r="AE274" t="s">
        <v>74</v>
      </c>
      <c r="AF274" t="s">
        <v>74</v>
      </c>
      <c r="AG274">
        <v>0</v>
      </c>
      <c r="AH274">
        <v>0</v>
      </c>
      <c r="AI274">
        <v>0</v>
      </c>
      <c r="AJ274">
        <v>0</v>
      </c>
      <c r="AK274">
        <v>0</v>
      </c>
      <c r="AL274" t="s">
        <v>948</v>
      </c>
      <c r="AM274" t="s">
        <v>278</v>
      </c>
      <c r="AN274" t="s">
        <v>949</v>
      </c>
      <c r="AO274" t="s">
        <v>3956</v>
      </c>
      <c r="AP274" t="s">
        <v>74</v>
      </c>
      <c r="AQ274" t="s">
        <v>74</v>
      </c>
      <c r="AR274" t="s">
        <v>3957</v>
      </c>
      <c r="AS274" t="s">
        <v>3958</v>
      </c>
      <c r="AT274" t="s">
        <v>3946</v>
      </c>
      <c r="AU274">
        <v>1998</v>
      </c>
      <c r="AV274">
        <v>10</v>
      </c>
      <c r="AW274">
        <v>4</v>
      </c>
      <c r="AX274" t="s">
        <v>74</v>
      </c>
      <c r="AY274" t="s">
        <v>74</v>
      </c>
      <c r="AZ274" t="s">
        <v>74</v>
      </c>
      <c r="BA274" t="s">
        <v>74</v>
      </c>
      <c r="BB274">
        <v>367</v>
      </c>
      <c r="BC274">
        <v>367</v>
      </c>
      <c r="BD274" t="s">
        <v>74</v>
      </c>
      <c r="BE274" t="s">
        <v>3959</v>
      </c>
      <c r="BF274" t="str">
        <f>HYPERLINK("http://dx.doi.org/10.1017/S0954102098000443","http://dx.doi.org/10.1017/S0954102098000443")</f>
        <v>http://dx.doi.org/10.1017/S0954102098000443</v>
      </c>
      <c r="BG274" t="s">
        <v>74</v>
      </c>
      <c r="BH274" t="s">
        <v>74</v>
      </c>
      <c r="BI274">
        <v>1</v>
      </c>
      <c r="BJ274" t="s">
        <v>3960</v>
      </c>
      <c r="BK274" t="s">
        <v>95</v>
      </c>
      <c r="BL274" t="s">
        <v>3961</v>
      </c>
      <c r="BM274" t="s">
        <v>3962</v>
      </c>
      <c r="BN274" t="s">
        <v>74</v>
      </c>
      <c r="BO274" t="s">
        <v>1089</v>
      </c>
      <c r="BP274" t="s">
        <v>74</v>
      </c>
      <c r="BQ274" t="s">
        <v>74</v>
      </c>
      <c r="BR274" t="s">
        <v>98</v>
      </c>
      <c r="BS274" t="s">
        <v>3963</v>
      </c>
      <c r="BT274" t="str">
        <f>HYPERLINK("https%3A%2F%2Fwww.webofscience.com%2Fwos%2Fwoscc%2Ffull-record%2FWOS:000077839300001","View Full Record in Web of Science")</f>
        <v>View Full Record in Web of Science</v>
      </c>
    </row>
    <row r="275" spans="1:72" x14ac:dyDescent="0.15">
      <c r="A275" t="s">
        <v>72</v>
      </c>
      <c r="B275" t="s">
        <v>3964</v>
      </c>
      <c r="C275" t="s">
        <v>74</v>
      </c>
      <c r="D275" t="s">
        <v>74</v>
      </c>
      <c r="E275" t="s">
        <v>74</v>
      </c>
      <c r="F275" t="s">
        <v>3964</v>
      </c>
      <c r="G275" t="s">
        <v>74</v>
      </c>
      <c r="H275" t="s">
        <v>74</v>
      </c>
      <c r="I275" t="s">
        <v>3965</v>
      </c>
      <c r="J275" t="s">
        <v>3955</v>
      </c>
      <c r="K275" t="s">
        <v>74</v>
      </c>
      <c r="L275" t="s">
        <v>74</v>
      </c>
      <c r="M275" t="s">
        <v>77</v>
      </c>
      <c r="N275" t="s">
        <v>103</v>
      </c>
      <c r="O275" t="s">
        <v>74</v>
      </c>
      <c r="P275" t="s">
        <v>74</v>
      </c>
      <c r="Q275" t="s">
        <v>74</v>
      </c>
      <c r="R275" t="s">
        <v>74</v>
      </c>
      <c r="S275" t="s">
        <v>74</v>
      </c>
      <c r="T275" t="s">
        <v>3966</v>
      </c>
      <c r="U275" t="s">
        <v>3967</v>
      </c>
      <c r="V275" t="s">
        <v>3968</v>
      </c>
      <c r="W275" t="s">
        <v>3969</v>
      </c>
      <c r="X275" t="s">
        <v>3970</v>
      </c>
      <c r="Y275" t="s">
        <v>3971</v>
      </c>
      <c r="Z275" t="s">
        <v>74</v>
      </c>
      <c r="AA275" t="s">
        <v>3972</v>
      </c>
      <c r="AB275" t="s">
        <v>3973</v>
      </c>
      <c r="AC275" t="s">
        <v>74</v>
      </c>
      <c r="AD275" t="s">
        <v>74</v>
      </c>
      <c r="AE275" t="s">
        <v>74</v>
      </c>
      <c r="AF275" t="s">
        <v>74</v>
      </c>
      <c r="AG275">
        <v>37</v>
      </c>
      <c r="AH275">
        <v>47</v>
      </c>
      <c r="AI275">
        <v>49</v>
      </c>
      <c r="AJ275">
        <v>0</v>
      </c>
      <c r="AK275">
        <v>7</v>
      </c>
      <c r="AL275" t="s">
        <v>948</v>
      </c>
      <c r="AM275" t="s">
        <v>278</v>
      </c>
      <c r="AN275" t="s">
        <v>3974</v>
      </c>
      <c r="AO275" t="s">
        <v>3956</v>
      </c>
      <c r="AP275" t="s">
        <v>3975</v>
      </c>
      <c r="AQ275" t="s">
        <v>74</v>
      </c>
      <c r="AR275" t="s">
        <v>3957</v>
      </c>
      <c r="AS275" t="s">
        <v>3958</v>
      </c>
      <c r="AT275" t="s">
        <v>3946</v>
      </c>
      <c r="AU275">
        <v>1998</v>
      </c>
      <c r="AV275">
        <v>10</v>
      </c>
      <c r="AW275">
        <v>4</v>
      </c>
      <c r="AX275" t="s">
        <v>74</v>
      </c>
      <c r="AY275" t="s">
        <v>74</v>
      </c>
      <c r="AZ275" t="s">
        <v>74</v>
      </c>
      <c r="BA275" t="s">
        <v>74</v>
      </c>
      <c r="BB275">
        <v>369</v>
      </c>
      <c r="BC275">
        <v>375</v>
      </c>
      <c r="BD275" t="s">
        <v>74</v>
      </c>
      <c r="BE275" t="s">
        <v>3976</v>
      </c>
      <c r="BF275" t="str">
        <f>HYPERLINK("http://dx.doi.org/10.1017/S0954102098000455","http://dx.doi.org/10.1017/S0954102098000455")</f>
        <v>http://dx.doi.org/10.1017/S0954102098000455</v>
      </c>
      <c r="BG275" t="s">
        <v>74</v>
      </c>
      <c r="BH275" t="s">
        <v>74</v>
      </c>
      <c r="BI275">
        <v>7</v>
      </c>
      <c r="BJ275" t="s">
        <v>3960</v>
      </c>
      <c r="BK275" t="s">
        <v>95</v>
      </c>
      <c r="BL275" t="s">
        <v>3961</v>
      </c>
      <c r="BM275" t="s">
        <v>3962</v>
      </c>
      <c r="BN275" t="s">
        <v>74</v>
      </c>
      <c r="BO275" t="s">
        <v>74</v>
      </c>
      <c r="BP275" t="s">
        <v>74</v>
      </c>
      <c r="BQ275" t="s">
        <v>74</v>
      </c>
      <c r="BR275" t="s">
        <v>98</v>
      </c>
      <c r="BS275" t="s">
        <v>3977</v>
      </c>
      <c r="BT275" t="str">
        <f>HYPERLINK("https%3A%2F%2Fwww.webofscience.com%2Fwos%2Fwoscc%2Ffull-record%2FWOS:000077839300002","View Full Record in Web of Science")</f>
        <v>View Full Record in Web of Science</v>
      </c>
    </row>
    <row r="276" spans="1:72" x14ac:dyDescent="0.15">
      <c r="A276" t="s">
        <v>72</v>
      </c>
      <c r="B276" t="s">
        <v>3978</v>
      </c>
      <c r="C276" t="s">
        <v>74</v>
      </c>
      <c r="D276" t="s">
        <v>74</v>
      </c>
      <c r="E276" t="s">
        <v>74</v>
      </c>
      <c r="F276" t="s">
        <v>3978</v>
      </c>
      <c r="G276" t="s">
        <v>74</v>
      </c>
      <c r="H276" t="s">
        <v>74</v>
      </c>
      <c r="I276" t="s">
        <v>3979</v>
      </c>
      <c r="J276" t="s">
        <v>3955</v>
      </c>
      <c r="K276" t="s">
        <v>74</v>
      </c>
      <c r="L276" t="s">
        <v>74</v>
      </c>
      <c r="M276" t="s">
        <v>77</v>
      </c>
      <c r="N276" t="s">
        <v>103</v>
      </c>
      <c r="O276" t="s">
        <v>74</v>
      </c>
      <c r="P276" t="s">
        <v>74</v>
      </c>
      <c r="Q276" t="s">
        <v>74</v>
      </c>
      <c r="R276" t="s">
        <v>74</v>
      </c>
      <c r="S276" t="s">
        <v>74</v>
      </c>
      <c r="T276" t="s">
        <v>3980</v>
      </c>
      <c r="U276" t="s">
        <v>3981</v>
      </c>
      <c r="V276" t="s">
        <v>3982</v>
      </c>
      <c r="W276" t="s">
        <v>3983</v>
      </c>
      <c r="X276" t="s">
        <v>3984</v>
      </c>
      <c r="Y276" t="s">
        <v>3985</v>
      </c>
      <c r="Z276" t="s">
        <v>74</v>
      </c>
      <c r="AA276" t="s">
        <v>74</v>
      </c>
      <c r="AB276" t="s">
        <v>74</v>
      </c>
      <c r="AC276" t="s">
        <v>74</v>
      </c>
      <c r="AD276" t="s">
        <v>74</v>
      </c>
      <c r="AE276" t="s">
        <v>74</v>
      </c>
      <c r="AF276" t="s">
        <v>74</v>
      </c>
      <c r="AG276">
        <v>36</v>
      </c>
      <c r="AH276">
        <v>59</v>
      </c>
      <c r="AI276">
        <v>74</v>
      </c>
      <c r="AJ276">
        <v>2</v>
      </c>
      <c r="AK276">
        <v>10</v>
      </c>
      <c r="AL276" t="s">
        <v>948</v>
      </c>
      <c r="AM276" t="s">
        <v>278</v>
      </c>
      <c r="AN276" t="s">
        <v>949</v>
      </c>
      <c r="AO276" t="s">
        <v>3956</v>
      </c>
      <c r="AP276" t="s">
        <v>74</v>
      </c>
      <c r="AQ276" t="s">
        <v>74</v>
      </c>
      <c r="AR276" t="s">
        <v>3957</v>
      </c>
      <c r="AS276" t="s">
        <v>3958</v>
      </c>
      <c r="AT276" t="s">
        <v>3946</v>
      </c>
      <c r="AU276">
        <v>1998</v>
      </c>
      <c r="AV276">
        <v>10</v>
      </c>
      <c r="AW276">
        <v>4</v>
      </c>
      <c r="AX276" t="s">
        <v>74</v>
      </c>
      <c r="AY276" t="s">
        <v>74</v>
      </c>
      <c r="AZ276" t="s">
        <v>74</v>
      </c>
      <c r="BA276" t="s">
        <v>74</v>
      </c>
      <c r="BB276">
        <v>376</v>
      </c>
      <c r="BC276">
        <v>385</v>
      </c>
      <c r="BD276" t="s">
        <v>74</v>
      </c>
      <c r="BE276" t="s">
        <v>3986</v>
      </c>
      <c r="BF276" t="str">
        <f>HYPERLINK("http://dx.doi.org/10.1017/S0954102098000467","http://dx.doi.org/10.1017/S0954102098000467")</f>
        <v>http://dx.doi.org/10.1017/S0954102098000467</v>
      </c>
      <c r="BG276" t="s">
        <v>74</v>
      </c>
      <c r="BH276" t="s">
        <v>74</v>
      </c>
      <c r="BI276">
        <v>10</v>
      </c>
      <c r="BJ276" t="s">
        <v>3960</v>
      </c>
      <c r="BK276" t="s">
        <v>95</v>
      </c>
      <c r="BL276" t="s">
        <v>3961</v>
      </c>
      <c r="BM276" t="s">
        <v>3962</v>
      </c>
      <c r="BN276" t="s">
        <v>74</v>
      </c>
      <c r="BO276" t="s">
        <v>74</v>
      </c>
      <c r="BP276" t="s">
        <v>74</v>
      </c>
      <c r="BQ276" t="s">
        <v>74</v>
      </c>
      <c r="BR276" t="s">
        <v>98</v>
      </c>
      <c r="BS276" t="s">
        <v>3987</v>
      </c>
      <c r="BT276" t="str">
        <f>HYPERLINK("https%3A%2F%2Fwww.webofscience.com%2Fwos%2Fwoscc%2Ffull-record%2FWOS:000077839300003","View Full Record in Web of Science")</f>
        <v>View Full Record in Web of Science</v>
      </c>
    </row>
    <row r="277" spans="1:72" x14ac:dyDescent="0.15">
      <c r="A277" t="s">
        <v>72</v>
      </c>
      <c r="B277" t="s">
        <v>3988</v>
      </c>
      <c r="C277" t="s">
        <v>74</v>
      </c>
      <c r="D277" t="s">
        <v>74</v>
      </c>
      <c r="E277" t="s">
        <v>74</v>
      </c>
      <c r="F277" t="s">
        <v>3988</v>
      </c>
      <c r="G277" t="s">
        <v>74</v>
      </c>
      <c r="H277" t="s">
        <v>74</v>
      </c>
      <c r="I277" t="s">
        <v>3989</v>
      </c>
      <c r="J277" t="s">
        <v>3955</v>
      </c>
      <c r="K277" t="s">
        <v>74</v>
      </c>
      <c r="L277" t="s">
        <v>74</v>
      </c>
      <c r="M277" t="s">
        <v>77</v>
      </c>
      <c r="N277" t="s">
        <v>103</v>
      </c>
      <c r="O277" t="s">
        <v>74</v>
      </c>
      <c r="P277" t="s">
        <v>74</v>
      </c>
      <c r="Q277" t="s">
        <v>74</v>
      </c>
      <c r="R277" t="s">
        <v>74</v>
      </c>
      <c r="S277" t="s">
        <v>74</v>
      </c>
      <c r="T277" t="s">
        <v>3990</v>
      </c>
      <c r="U277" t="s">
        <v>3991</v>
      </c>
      <c r="V277" t="s">
        <v>3992</v>
      </c>
      <c r="W277" t="s">
        <v>3993</v>
      </c>
      <c r="X277" t="s">
        <v>3994</v>
      </c>
      <c r="Y277" t="s">
        <v>3995</v>
      </c>
      <c r="Z277" t="s">
        <v>74</v>
      </c>
      <c r="AA277" t="s">
        <v>3996</v>
      </c>
      <c r="AB277" t="s">
        <v>74</v>
      </c>
      <c r="AC277" t="s">
        <v>74</v>
      </c>
      <c r="AD277" t="s">
        <v>74</v>
      </c>
      <c r="AE277" t="s">
        <v>74</v>
      </c>
      <c r="AF277" t="s">
        <v>74</v>
      </c>
      <c r="AG277">
        <v>34</v>
      </c>
      <c r="AH277">
        <v>21</v>
      </c>
      <c r="AI277">
        <v>23</v>
      </c>
      <c r="AJ277">
        <v>0</v>
      </c>
      <c r="AK277">
        <v>14</v>
      </c>
      <c r="AL277" t="s">
        <v>948</v>
      </c>
      <c r="AM277" t="s">
        <v>278</v>
      </c>
      <c r="AN277" t="s">
        <v>949</v>
      </c>
      <c r="AO277" t="s">
        <v>3956</v>
      </c>
      <c r="AP277" t="s">
        <v>74</v>
      </c>
      <c r="AQ277" t="s">
        <v>74</v>
      </c>
      <c r="AR277" t="s">
        <v>3957</v>
      </c>
      <c r="AS277" t="s">
        <v>3958</v>
      </c>
      <c r="AT277" t="s">
        <v>3946</v>
      </c>
      <c r="AU277">
        <v>1998</v>
      </c>
      <c r="AV277">
        <v>10</v>
      </c>
      <c r="AW277">
        <v>4</v>
      </c>
      <c r="AX277" t="s">
        <v>74</v>
      </c>
      <c r="AY277" t="s">
        <v>74</v>
      </c>
      <c r="AZ277" t="s">
        <v>74</v>
      </c>
      <c r="BA277" t="s">
        <v>74</v>
      </c>
      <c r="BB277">
        <v>386</v>
      </c>
      <c r="BC277">
        <v>397</v>
      </c>
      <c r="BD277" t="s">
        <v>74</v>
      </c>
      <c r="BE277" t="s">
        <v>3997</v>
      </c>
      <c r="BF277" t="str">
        <f>HYPERLINK("http://dx.doi.org/10.1017/S0954102098000479","http://dx.doi.org/10.1017/S0954102098000479")</f>
        <v>http://dx.doi.org/10.1017/S0954102098000479</v>
      </c>
      <c r="BG277" t="s">
        <v>74</v>
      </c>
      <c r="BH277" t="s">
        <v>74</v>
      </c>
      <c r="BI277">
        <v>12</v>
      </c>
      <c r="BJ277" t="s">
        <v>3960</v>
      </c>
      <c r="BK277" t="s">
        <v>95</v>
      </c>
      <c r="BL277" t="s">
        <v>3961</v>
      </c>
      <c r="BM277" t="s">
        <v>3962</v>
      </c>
      <c r="BN277" t="s">
        <v>74</v>
      </c>
      <c r="BO277" t="s">
        <v>74</v>
      </c>
      <c r="BP277" t="s">
        <v>74</v>
      </c>
      <c r="BQ277" t="s">
        <v>74</v>
      </c>
      <c r="BR277" t="s">
        <v>98</v>
      </c>
      <c r="BS277" t="s">
        <v>3998</v>
      </c>
      <c r="BT277" t="str">
        <f>HYPERLINK("https%3A%2F%2Fwww.webofscience.com%2Fwos%2Fwoscc%2Ffull-record%2FWOS:000077839300004","View Full Record in Web of Science")</f>
        <v>View Full Record in Web of Science</v>
      </c>
    </row>
    <row r="278" spans="1:72" x14ac:dyDescent="0.15">
      <c r="A278" t="s">
        <v>72</v>
      </c>
      <c r="B278" t="s">
        <v>3999</v>
      </c>
      <c r="C278" t="s">
        <v>74</v>
      </c>
      <c r="D278" t="s">
        <v>74</v>
      </c>
      <c r="E278" t="s">
        <v>74</v>
      </c>
      <c r="F278" t="s">
        <v>3999</v>
      </c>
      <c r="G278" t="s">
        <v>74</v>
      </c>
      <c r="H278" t="s">
        <v>74</v>
      </c>
      <c r="I278" t="s">
        <v>4000</v>
      </c>
      <c r="J278" t="s">
        <v>3955</v>
      </c>
      <c r="K278" t="s">
        <v>74</v>
      </c>
      <c r="L278" t="s">
        <v>74</v>
      </c>
      <c r="M278" t="s">
        <v>77</v>
      </c>
      <c r="N278" t="s">
        <v>103</v>
      </c>
      <c r="O278" t="s">
        <v>74</v>
      </c>
      <c r="P278" t="s">
        <v>74</v>
      </c>
      <c r="Q278" t="s">
        <v>74</v>
      </c>
      <c r="R278" t="s">
        <v>74</v>
      </c>
      <c r="S278" t="s">
        <v>74</v>
      </c>
      <c r="T278" t="s">
        <v>4001</v>
      </c>
      <c r="U278" t="s">
        <v>4002</v>
      </c>
      <c r="V278" t="s">
        <v>4003</v>
      </c>
      <c r="W278" t="s">
        <v>4004</v>
      </c>
      <c r="X278" t="s">
        <v>509</v>
      </c>
      <c r="Y278" t="s">
        <v>4005</v>
      </c>
      <c r="Z278" t="s">
        <v>4006</v>
      </c>
      <c r="AA278" t="s">
        <v>74</v>
      </c>
      <c r="AB278" t="s">
        <v>4007</v>
      </c>
      <c r="AC278" t="s">
        <v>74</v>
      </c>
      <c r="AD278" t="s">
        <v>74</v>
      </c>
      <c r="AE278" t="s">
        <v>74</v>
      </c>
      <c r="AF278" t="s">
        <v>74</v>
      </c>
      <c r="AG278">
        <v>38</v>
      </c>
      <c r="AH278">
        <v>89</v>
      </c>
      <c r="AI278">
        <v>95</v>
      </c>
      <c r="AJ278">
        <v>0</v>
      </c>
      <c r="AK278">
        <v>15</v>
      </c>
      <c r="AL278" t="s">
        <v>948</v>
      </c>
      <c r="AM278" t="s">
        <v>278</v>
      </c>
      <c r="AN278" t="s">
        <v>3974</v>
      </c>
      <c r="AO278" t="s">
        <v>3956</v>
      </c>
      <c r="AP278" t="s">
        <v>3975</v>
      </c>
      <c r="AQ278" t="s">
        <v>74</v>
      </c>
      <c r="AR278" t="s">
        <v>3957</v>
      </c>
      <c r="AS278" t="s">
        <v>3958</v>
      </c>
      <c r="AT278" t="s">
        <v>3946</v>
      </c>
      <c r="AU278">
        <v>1998</v>
      </c>
      <c r="AV278">
        <v>10</v>
      </c>
      <c r="AW278">
        <v>4</v>
      </c>
      <c r="AX278" t="s">
        <v>74</v>
      </c>
      <c r="AY278" t="s">
        <v>74</v>
      </c>
      <c r="AZ278" t="s">
        <v>74</v>
      </c>
      <c r="BA278" t="s">
        <v>74</v>
      </c>
      <c r="BB278">
        <v>398</v>
      </c>
      <c r="BC278">
        <v>405</v>
      </c>
      <c r="BD278" t="s">
        <v>74</v>
      </c>
      <c r="BE278" t="s">
        <v>4008</v>
      </c>
      <c r="BF278" t="str">
        <f>HYPERLINK("http://dx.doi.org/10.1017/S0954102098000480","http://dx.doi.org/10.1017/S0954102098000480")</f>
        <v>http://dx.doi.org/10.1017/S0954102098000480</v>
      </c>
      <c r="BG278" t="s">
        <v>74</v>
      </c>
      <c r="BH278" t="s">
        <v>74</v>
      </c>
      <c r="BI278">
        <v>8</v>
      </c>
      <c r="BJ278" t="s">
        <v>3960</v>
      </c>
      <c r="BK278" t="s">
        <v>95</v>
      </c>
      <c r="BL278" t="s">
        <v>3961</v>
      </c>
      <c r="BM278" t="s">
        <v>3962</v>
      </c>
      <c r="BN278" t="s">
        <v>74</v>
      </c>
      <c r="BO278" t="s">
        <v>74</v>
      </c>
      <c r="BP278" t="s">
        <v>74</v>
      </c>
      <c r="BQ278" t="s">
        <v>74</v>
      </c>
      <c r="BR278" t="s">
        <v>98</v>
      </c>
      <c r="BS278" t="s">
        <v>4009</v>
      </c>
      <c r="BT278" t="str">
        <f>HYPERLINK("https%3A%2F%2Fwww.webofscience.com%2Fwos%2Fwoscc%2Ffull-record%2FWOS:000077839300005","View Full Record in Web of Science")</f>
        <v>View Full Record in Web of Science</v>
      </c>
    </row>
    <row r="279" spans="1:72" x14ac:dyDescent="0.15">
      <c r="A279" t="s">
        <v>72</v>
      </c>
      <c r="B279" t="s">
        <v>4010</v>
      </c>
      <c r="C279" t="s">
        <v>74</v>
      </c>
      <c r="D279" t="s">
        <v>74</v>
      </c>
      <c r="E279" t="s">
        <v>74</v>
      </c>
      <c r="F279" t="s">
        <v>4010</v>
      </c>
      <c r="G279" t="s">
        <v>74</v>
      </c>
      <c r="H279" t="s">
        <v>74</v>
      </c>
      <c r="I279" t="s">
        <v>4011</v>
      </c>
      <c r="J279" t="s">
        <v>3955</v>
      </c>
      <c r="K279" t="s">
        <v>74</v>
      </c>
      <c r="L279" t="s">
        <v>74</v>
      </c>
      <c r="M279" t="s">
        <v>77</v>
      </c>
      <c r="N279" t="s">
        <v>103</v>
      </c>
      <c r="O279" t="s">
        <v>74</v>
      </c>
      <c r="P279" t="s">
        <v>74</v>
      </c>
      <c r="Q279" t="s">
        <v>74</v>
      </c>
      <c r="R279" t="s">
        <v>74</v>
      </c>
      <c r="S279" t="s">
        <v>74</v>
      </c>
      <c r="T279" t="s">
        <v>4012</v>
      </c>
      <c r="U279" t="s">
        <v>4013</v>
      </c>
      <c r="V279" t="s">
        <v>4014</v>
      </c>
      <c r="W279" t="s">
        <v>4015</v>
      </c>
      <c r="X279" t="s">
        <v>4016</v>
      </c>
      <c r="Y279" t="s">
        <v>4017</v>
      </c>
      <c r="Z279" t="s">
        <v>74</v>
      </c>
      <c r="AA279" t="s">
        <v>4018</v>
      </c>
      <c r="AB279" t="s">
        <v>4019</v>
      </c>
      <c r="AC279" t="s">
        <v>74</v>
      </c>
      <c r="AD279" t="s">
        <v>74</v>
      </c>
      <c r="AE279" t="s">
        <v>74</v>
      </c>
      <c r="AF279" t="s">
        <v>74</v>
      </c>
      <c r="AG279">
        <v>33</v>
      </c>
      <c r="AH279">
        <v>135</v>
      </c>
      <c r="AI279">
        <v>149</v>
      </c>
      <c r="AJ279">
        <v>1</v>
      </c>
      <c r="AK279">
        <v>19</v>
      </c>
      <c r="AL279" t="s">
        <v>948</v>
      </c>
      <c r="AM279" t="s">
        <v>278</v>
      </c>
      <c r="AN279" t="s">
        <v>949</v>
      </c>
      <c r="AO279" t="s">
        <v>3956</v>
      </c>
      <c r="AP279" t="s">
        <v>74</v>
      </c>
      <c r="AQ279" t="s">
        <v>74</v>
      </c>
      <c r="AR279" t="s">
        <v>3957</v>
      </c>
      <c r="AS279" t="s">
        <v>3958</v>
      </c>
      <c r="AT279" t="s">
        <v>3946</v>
      </c>
      <c r="AU279">
        <v>1998</v>
      </c>
      <c r="AV279">
        <v>10</v>
      </c>
      <c r="AW279">
        <v>4</v>
      </c>
      <c r="AX279" t="s">
        <v>74</v>
      </c>
      <c r="AY279" t="s">
        <v>74</v>
      </c>
      <c r="AZ279" t="s">
        <v>74</v>
      </c>
      <c r="BA279" t="s">
        <v>74</v>
      </c>
      <c r="BB279">
        <v>406</v>
      </c>
      <c r="BC279">
        <v>415</v>
      </c>
      <c r="BD279" t="s">
        <v>74</v>
      </c>
      <c r="BE279" t="s">
        <v>4020</v>
      </c>
      <c r="BF279" t="str">
        <f>HYPERLINK("http://dx.doi.org/10.1017/S0954102098000492","http://dx.doi.org/10.1017/S0954102098000492")</f>
        <v>http://dx.doi.org/10.1017/S0954102098000492</v>
      </c>
      <c r="BG279" t="s">
        <v>74</v>
      </c>
      <c r="BH279" t="s">
        <v>74</v>
      </c>
      <c r="BI279">
        <v>10</v>
      </c>
      <c r="BJ279" t="s">
        <v>3960</v>
      </c>
      <c r="BK279" t="s">
        <v>95</v>
      </c>
      <c r="BL279" t="s">
        <v>3961</v>
      </c>
      <c r="BM279" t="s">
        <v>3962</v>
      </c>
      <c r="BN279" t="s">
        <v>74</v>
      </c>
      <c r="BO279" t="s">
        <v>483</v>
      </c>
      <c r="BP279" t="s">
        <v>74</v>
      </c>
      <c r="BQ279" t="s">
        <v>74</v>
      </c>
      <c r="BR279" t="s">
        <v>98</v>
      </c>
      <c r="BS279" t="s">
        <v>4021</v>
      </c>
      <c r="BT279" t="str">
        <f>HYPERLINK("https%3A%2F%2Fwww.webofscience.com%2Fwos%2Fwoscc%2Ffull-record%2FWOS:000077839300006","View Full Record in Web of Science")</f>
        <v>View Full Record in Web of Science</v>
      </c>
    </row>
    <row r="280" spans="1:72" x14ac:dyDescent="0.15">
      <c r="A280" t="s">
        <v>72</v>
      </c>
      <c r="B280" t="s">
        <v>4022</v>
      </c>
      <c r="C280" t="s">
        <v>74</v>
      </c>
      <c r="D280" t="s">
        <v>74</v>
      </c>
      <c r="E280" t="s">
        <v>74</v>
      </c>
      <c r="F280" t="s">
        <v>4022</v>
      </c>
      <c r="G280" t="s">
        <v>74</v>
      </c>
      <c r="H280" t="s">
        <v>74</v>
      </c>
      <c r="I280" t="s">
        <v>4023</v>
      </c>
      <c r="J280" t="s">
        <v>3955</v>
      </c>
      <c r="K280" t="s">
        <v>74</v>
      </c>
      <c r="L280" t="s">
        <v>74</v>
      </c>
      <c r="M280" t="s">
        <v>77</v>
      </c>
      <c r="N280" t="s">
        <v>103</v>
      </c>
      <c r="O280" t="s">
        <v>74</v>
      </c>
      <c r="P280" t="s">
        <v>74</v>
      </c>
      <c r="Q280" t="s">
        <v>74</v>
      </c>
      <c r="R280" t="s">
        <v>74</v>
      </c>
      <c r="S280" t="s">
        <v>74</v>
      </c>
      <c r="T280" t="s">
        <v>4024</v>
      </c>
      <c r="U280" t="s">
        <v>4025</v>
      </c>
      <c r="V280" t="s">
        <v>4026</v>
      </c>
      <c r="W280" t="s">
        <v>944</v>
      </c>
      <c r="X280" t="s">
        <v>628</v>
      </c>
      <c r="Y280" t="s">
        <v>4027</v>
      </c>
      <c r="Z280" t="s">
        <v>4028</v>
      </c>
      <c r="AA280" t="s">
        <v>74</v>
      </c>
      <c r="AB280" t="s">
        <v>74</v>
      </c>
      <c r="AC280" t="s">
        <v>74</v>
      </c>
      <c r="AD280" t="s">
        <v>74</v>
      </c>
      <c r="AE280" t="s">
        <v>74</v>
      </c>
      <c r="AF280" t="s">
        <v>74</v>
      </c>
      <c r="AG280">
        <v>41</v>
      </c>
      <c r="AH280">
        <v>9</v>
      </c>
      <c r="AI280">
        <v>9</v>
      </c>
      <c r="AJ280">
        <v>0</v>
      </c>
      <c r="AK280">
        <v>4</v>
      </c>
      <c r="AL280" t="s">
        <v>948</v>
      </c>
      <c r="AM280" t="s">
        <v>278</v>
      </c>
      <c r="AN280" t="s">
        <v>949</v>
      </c>
      <c r="AO280" t="s">
        <v>3956</v>
      </c>
      <c r="AP280" t="s">
        <v>74</v>
      </c>
      <c r="AQ280" t="s">
        <v>74</v>
      </c>
      <c r="AR280" t="s">
        <v>3957</v>
      </c>
      <c r="AS280" t="s">
        <v>3958</v>
      </c>
      <c r="AT280" t="s">
        <v>3946</v>
      </c>
      <c r="AU280">
        <v>1998</v>
      </c>
      <c r="AV280">
        <v>10</v>
      </c>
      <c r="AW280">
        <v>4</v>
      </c>
      <c r="AX280" t="s">
        <v>74</v>
      </c>
      <c r="AY280" t="s">
        <v>74</v>
      </c>
      <c r="AZ280" t="s">
        <v>74</v>
      </c>
      <c r="BA280" t="s">
        <v>74</v>
      </c>
      <c r="BB280">
        <v>416</v>
      </c>
      <c r="BC280">
        <v>422</v>
      </c>
      <c r="BD280" t="s">
        <v>74</v>
      </c>
      <c r="BE280" t="s">
        <v>4029</v>
      </c>
      <c r="BF280" t="str">
        <f>HYPERLINK("http://dx.doi.org/10.1017/S0954102098000509","http://dx.doi.org/10.1017/S0954102098000509")</f>
        <v>http://dx.doi.org/10.1017/S0954102098000509</v>
      </c>
      <c r="BG280" t="s">
        <v>74</v>
      </c>
      <c r="BH280" t="s">
        <v>74</v>
      </c>
      <c r="BI280">
        <v>7</v>
      </c>
      <c r="BJ280" t="s">
        <v>3960</v>
      </c>
      <c r="BK280" t="s">
        <v>95</v>
      </c>
      <c r="BL280" t="s">
        <v>3961</v>
      </c>
      <c r="BM280" t="s">
        <v>3962</v>
      </c>
      <c r="BN280" t="s">
        <v>74</v>
      </c>
      <c r="BO280" t="s">
        <v>74</v>
      </c>
      <c r="BP280" t="s">
        <v>74</v>
      </c>
      <c r="BQ280" t="s">
        <v>74</v>
      </c>
      <c r="BR280" t="s">
        <v>98</v>
      </c>
      <c r="BS280" t="s">
        <v>4030</v>
      </c>
      <c r="BT280" t="str">
        <f>HYPERLINK("https%3A%2F%2Fwww.webofscience.com%2Fwos%2Fwoscc%2Ffull-record%2FWOS:000077839300007","View Full Record in Web of Science")</f>
        <v>View Full Record in Web of Science</v>
      </c>
    </row>
    <row r="281" spans="1:72" x14ac:dyDescent="0.15">
      <c r="A281" t="s">
        <v>72</v>
      </c>
      <c r="B281" t="s">
        <v>4031</v>
      </c>
      <c r="C281" t="s">
        <v>74</v>
      </c>
      <c r="D281" t="s">
        <v>74</v>
      </c>
      <c r="E281" t="s">
        <v>74</v>
      </c>
      <c r="F281" t="s">
        <v>4031</v>
      </c>
      <c r="G281" t="s">
        <v>74</v>
      </c>
      <c r="H281" t="s">
        <v>74</v>
      </c>
      <c r="I281" t="s">
        <v>4032</v>
      </c>
      <c r="J281" t="s">
        <v>3955</v>
      </c>
      <c r="K281" t="s">
        <v>74</v>
      </c>
      <c r="L281" t="s">
        <v>74</v>
      </c>
      <c r="M281" t="s">
        <v>77</v>
      </c>
      <c r="N281" t="s">
        <v>103</v>
      </c>
      <c r="O281" t="s">
        <v>74</v>
      </c>
      <c r="P281" t="s">
        <v>74</v>
      </c>
      <c r="Q281" t="s">
        <v>74</v>
      </c>
      <c r="R281" t="s">
        <v>74</v>
      </c>
      <c r="S281" t="s">
        <v>74</v>
      </c>
      <c r="T281" t="s">
        <v>4033</v>
      </c>
      <c r="U281" t="s">
        <v>74</v>
      </c>
      <c r="V281" t="s">
        <v>4034</v>
      </c>
      <c r="W281" t="s">
        <v>4035</v>
      </c>
      <c r="X281" t="s">
        <v>4036</v>
      </c>
      <c r="Y281" t="s">
        <v>4037</v>
      </c>
      <c r="Z281" t="s">
        <v>4038</v>
      </c>
      <c r="AA281" t="s">
        <v>74</v>
      </c>
      <c r="AB281" t="s">
        <v>4039</v>
      </c>
      <c r="AC281" t="s">
        <v>74</v>
      </c>
      <c r="AD281" t="s">
        <v>74</v>
      </c>
      <c r="AE281" t="s">
        <v>74</v>
      </c>
      <c r="AF281" t="s">
        <v>74</v>
      </c>
      <c r="AG281">
        <v>26</v>
      </c>
      <c r="AH281">
        <v>21</v>
      </c>
      <c r="AI281">
        <v>26</v>
      </c>
      <c r="AJ281">
        <v>0</v>
      </c>
      <c r="AK281">
        <v>6</v>
      </c>
      <c r="AL281" t="s">
        <v>948</v>
      </c>
      <c r="AM281" t="s">
        <v>278</v>
      </c>
      <c r="AN281" t="s">
        <v>949</v>
      </c>
      <c r="AO281" t="s">
        <v>3956</v>
      </c>
      <c r="AP281" t="s">
        <v>74</v>
      </c>
      <c r="AQ281" t="s">
        <v>74</v>
      </c>
      <c r="AR281" t="s">
        <v>3957</v>
      </c>
      <c r="AS281" t="s">
        <v>3958</v>
      </c>
      <c r="AT281" t="s">
        <v>3946</v>
      </c>
      <c r="AU281">
        <v>1998</v>
      </c>
      <c r="AV281">
        <v>10</v>
      </c>
      <c r="AW281">
        <v>4</v>
      </c>
      <c r="AX281" t="s">
        <v>74</v>
      </c>
      <c r="AY281" t="s">
        <v>74</v>
      </c>
      <c r="AZ281" t="s">
        <v>74</v>
      </c>
      <c r="BA281" t="s">
        <v>74</v>
      </c>
      <c r="BB281">
        <v>423</v>
      </c>
      <c r="BC281">
        <v>430</v>
      </c>
      <c r="BD281" t="s">
        <v>74</v>
      </c>
      <c r="BE281" t="s">
        <v>4040</v>
      </c>
      <c r="BF281" t="str">
        <f>HYPERLINK("http://dx.doi.org/10.1017/S0954102098000510","http://dx.doi.org/10.1017/S0954102098000510")</f>
        <v>http://dx.doi.org/10.1017/S0954102098000510</v>
      </c>
      <c r="BG281" t="s">
        <v>74</v>
      </c>
      <c r="BH281" t="s">
        <v>74</v>
      </c>
      <c r="BI281">
        <v>8</v>
      </c>
      <c r="BJ281" t="s">
        <v>3960</v>
      </c>
      <c r="BK281" t="s">
        <v>95</v>
      </c>
      <c r="BL281" t="s">
        <v>3961</v>
      </c>
      <c r="BM281" t="s">
        <v>3962</v>
      </c>
      <c r="BN281" t="s">
        <v>74</v>
      </c>
      <c r="BO281" t="s">
        <v>74</v>
      </c>
      <c r="BP281" t="s">
        <v>74</v>
      </c>
      <c r="BQ281" t="s">
        <v>74</v>
      </c>
      <c r="BR281" t="s">
        <v>98</v>
      </c>
      <c r="BS281" t="s">
        <v>4041</v>
      </c>
      <c r="BT281" t="str">
        <f>HYPERLINK("https%3A%2F%2Fwww.webofscience.com%2Fwos%2Fwoscc%2Ffull-record%2FWOS:000077839300008","View Full Record in Web of Science")</f>
        <v>View Full Record in Web of Science</v>
      </c>
    </row>
    <row r="282" spans="1:72" x14ac:dyDescent="0.15">
      <c r="A282" t="s">
        <v>72</v>
      </c>
      <c r="B282" t="s">
        <v>4042</v>
      </c>
      <c r="C282" t="s">
        <v>74</v>
      </c>
      <c r="D282" t="s">
        <v>74</v>
      </c>
      <c r="E282" t="s">
        <v>74</v>
      </c>
      <c r="F282" t="s">
        <v>4042</v>
      </c>
      <c r="G282" t="s">
        <v>74</v>
      </c>
      <c r="H282" t="s">
        <v>74</v>
      </c>
      <c r="I282" t="s">
        <v>4043</v>
      </c>
      <c r="J282" t="s">
        <v>3955</v>
      </c>
      <c r="K282" t="s">
        <v>74</v>
      </c>
      <c r="L282" t="s">
        <v>74</v>
      </c>
      <c r="M282" t="s">
        <v>77</v>
      </c>
      <c r="N282" t="s">
        <v>103</v>
      </c>
      <c r="O282" t="s">
        <v>74</v>
      </c>
      <c r="P282" t="s">
        <v>74</v>
      </c>
      <c r="Q282" t="s">
        <v>74</v>
      </c>
      <c r="R282" t="s">
        <v>74</v>
      </c>
      <c r="S282" t="s">
        <v>74</v>
      </c>
      <c r="T282" t="s">
        <v>4044</v>
      </c>
      <c r="U282" t="s">
        <v>4045</v>
      </c>
      <c r="V282" t="s">
        <v>4046</v>
      </c>
      <c r="W282" t="s">
        <v>4047</v>
      </c>
      <c r="X282" t="s">
        <v>4048</v>
      </c>
      <c r="Y282" t="s">
        <v>4049</v>
      </c>
      <c r="Z282" t="s">
        <v>74</v>
      </c>
      <c r="AA282" t="s">
        <v>74</v>
      </c>
      <c r="AB282" t="s">
        <v>74</v>
      </c>
      <c r="AC282" t="s">
        <v>74</v>
      </c>
      <c r="AD282" t="s">
        <v>74</v>
      </c>
      <c r="AE282" t="s">
        <v>74</v>
      </c>
      <c r="AF282" t="s">
        <v>74</v>
      </c>
      <c r="AG282">
        <v>36</v>
      </c>
      <c r="AH282">
        <v>25</v>
      </c>
      <c r="AI282">
        <v>25</v>
      </c>
      <c r="AJ282">
        <v>0</v>
      </c>
      <c r="AK282">
        <v>14</v>
      </c>
      <c r="AL282" t="s">
        <v>948</v>
      </c>
      <c r="AM282" t="s">
        <v>278</v>
      </c>
      <c r="AN282" t="s">
        <v>949</v>
      </c>
      <c r="AO282" t="s">
        <v>3956</v>
      </c>
      <c r="AP282" t="s">
        <v>74</v>
      </c>
      <c r="AQ282" t="s">
        <v>74</v>
      </c>
      <c r="AR282" t="s">
        <v>3957</v>
      </c>
      <c r="AS282" t="s">
        <v>3958</v>
      </c>
      <c r="AT282" t="s">
        <v>3946</v>
      </c>
      <c r="AU282">
        <v>1998</v>
      </c>
      <c r="AV282">
        <v>10</v>
      </c>
      <c r="AW282">
        <v>4</v>
      </c>
      <c r="AX282" t="s">
        <v>74</v>
      </c>
      <c r="AY282" t="s">
        <v>74</v>
      </c>
      <c r="AZ282" t="s">
        <v>74</v>
      </c>
      <c r="BA282" t="s">
        <v>74</v>
      </c>
      <c r="BB282">
        <v>431</v>
      </c>
      <c r="BC282">
        <v>438</v>
      </c>
      <c r="BD282" t="s">
        <v>74</v>
      </c>
      <c r="BE282" t="s">
        <v>4050</v>
      </c>
      <c r="BF282" t="str">
        <f>HYPERLINK("http://dx.doi.org/10.1017/S0954102098000522","http://dx.doi.org/10.1017/S0954102098000522")</f>
        <v>http://dx.doi.org/10.1017/S0954102098000522</v>
      </c>
      <c r="BG282" t="s">
        <v>74</v>
      </c>
      <c r="BH282" t="s">
        <v>74</v>
      </c>
      <c r="BI282">
        <v>8</v>
      </c>
      <c r="BJ282" t="s">
        <v>3960</v>
      </c>
      <c r="BK282" t="s">
        <v>95</v>
      </c>
      <c r="BL282" t="s">
        <v>3961</v>
      </c>
      <c r="BM282" t="s">
        <v>3962</v>
      </c>
      <c r="BN282" t="s">
        <v>74</v>
      </c>
      <c r="BO282" t="s">
        <v>74</v>
      </c>
      <c r="BP282" t="s">
        <v>74</v>
      </c>
      <c r="BQ282" t="s">
        <v>74</v>
      </c>
      <c r="BR282" t="s">
        <v>98</v>
      </c>
      <c r="BS282" t="s">
        <v>4051</v>
      </c>
      <c r="BT282" t="str">
        <f>HYPERLINK("https%3A%2F%2Fwww.webofscience.com%2Fwos%2Fwoscc%2Ffull-record%2FWOS:000077839300009","View Full Record in Web of Science")</f>
        <v>View Full Record in Web of Science</v>
      </c>
    </row>
    <row r="283" spans="1:72" x14ac:dyDescent="0.15">
      <c r="A283" t="s">
        <v>72</v>
      </c>
      <c r="B283" t="s">
        <v>4052</v>
      </c>
      <c r="C283" t="s">
        <v>74</v>
      </c>
      <c r="D283" t="s">
        <v>74</v>
      </c>
      <c r="E283" t="s">
        <v>74</v>
      </c>
      <c r="F283" t="s">
        <v>4052</v>
      </c>
      <c r="G283" t="s">
        <v>74</v>
      </c>
      <c r="H283" t="s">
        <v>74</v>
      </c>
      <c r="I283" t="s">
        <v>4053</v>
      </c>
      <c r="J283" t="s">
        <v>3955</v>
      </c>
      <c r="K283" t="s">
        <v>74</v>
      </c>
      <c r="L283" t="s">
        <v>74</v>
      </c>
      <c r="M283" t="s">
        <v>77</v>
      </c>
      <c r="N283" t="s">
        <v>103</v>
      </c>
      <c r="O283" t="s">
        <v>74</v>
      </c>
      <c r="P283" t="s">
        <v>74</v>
      </c>
      <c r="Q283" t="s">
        <v>74</v>
      </c>
      <c r="R283" t="s">
        <v>74</v>
      </c>
      <c r="S283" t="s">
        <v>74</v>
      </c>
      <c r="T283" t="s">
        <v>4054</v>
      </c>
      <c r="U283" t="s">
        <v>4055</v>
      </c>
      <c r="V283" t="s">
        <v>4056</v>
      </c>
      <c r="W283" t="s">
        <v>4057</v>
      </c>
      <c r="X283" t="s">
        <v>4058</v>
      </c>
      <c r="Y283" t="s">
        <v>4059</v>
      </c>
      <c r="Z283" t="s">
        <v>74</v>
      </c>
      <c r="AA283" t="s">
        <v>74</v>
      </c>
      <c r="AB283" t="s">
        <v>74</v>
      </c>
      <c r="AC283" t="s">
        <v>74</v>
      </c>
      <c r="AD283" t="s">
        <v>74</v>
      </c>
      <c r="AE283" t="s">
        <v>74</v>
      </c>
      <c r="AF283" t="s">
        <v>74</v>
      </c>
      <c r="AG283">
        <v>32</v>
      </c>
      <c r="AH283">
        <v>11</v>
      </c>
      <c r="AI283">
        <v>15</v>
      </c>
      <c r="AJ283">
        <v>0</v>
      </c>
      <c r="AK283">
        <v>14</v>
      </c>
      <c r="AL283" t="s">
        <v>948</v>
      </c>
      <c r="AM283" t="s">
        <v>278</v>
      </c>
      <c r="AN283" t="s">
        <v>949</v>
      </c>
      <c r="AO283" t="s">
        <v>3956</v>
      </c>
      <c r="AP283" t="s">
        <v>74</v>
      </c>
      <c r="AQ283" t="s">
        <v>74</v>
      </c>
      <c r="AR283" t="s">
        <v>3957</v>
      </c>
      <c r="AS283" t="s">
        <v>3958</v>
      </c>
      <c r="AT283" t="s">
        <v>3946</v>
      </c>
      <c r="AU283">
        <v>1998</v>
      </c>
      <c r="AV283">
        <v>10</v>
      </c>
      <c r="AW283">
        <v>4</v>
      </c>
      <c r="AX283" t="s">
        <v>74</v>
      </c>
      <c r="AY283" t="s">
        <v>74</v>
      </c>
      <c r="AZ283" t="s">
        <v>74</v>
      </c>
      <c r="BA283" t="s">
        <v>74</v>
      </c>
      <c r="BB283">
        <v>439</v>
      </c>
      <c r="BC283">
        <v>448</v>
      </c>
      <c r="BD283" t="s">
        <v>74</v>
      </c>
      <c r="BE283" t="s">
        <v>4060</v>
      </c>
      <c r="BF283" t="str">
        <f>HYPERLINK("http://dx.doi.org/10.1017/S0954102098000534","http://dx.doi.org/10.1017/S0954102098000534")</f>
        <v>http://dx.doi.org/10.1017/S0954102098000534</v>
      </c>
      <c r="BG283" t="s">
        <v>74</v>
      </c>
      <c r="BH283" t="s">
        <v>74</v>
      </c>
      <c r="BI283">
        <v>10</v>
      </c>
      <c r="BJ283" t="s">
        <v>3960</v>
      </c>
      <c r="BK283" t="s">
        <v>95</v>
      </c>
      <c r="BL283" t="s">
        <v>3961</v>
      </c>
      <c r="BM283" t="s">
        <v>3962</v>
      </c>
      <c r="BN283" t="s">
        <v>74</v>
      </c>
      <c r="BO283" t="s">
        <v>74</v>
      </c>
      <c r="BP283" t="s">
        <v>74</v>
      </c>
      <c r="BQ283" t="s">
        <v>74</v>
      </c>
      <c r="BR283" t="s">
        <v>98</v>
      </c>
      <c r="BS283" t="s">
        <v>4061</v>
      </c>
      <c r="BT283" t="str">
        <f>HYPERLINK("https%3A%2F%2Fwww.webofscience.com%2Fwos%2Fwoscc%2Ffull-record%2FWOS:000077839300010","View Full Record in Web of Science")</f>
        <v>View Full Record in Web of Science</v>
      </c>
    </row>
    <row r="284" spans="1:72" x14ac:dyDescent="0.15">
      <c r="A284" t="s">
        <v>72</v>
      </c>
      <c r="B284" t="s">
        <v>4062</v>
      </c>
      <c r="C284" t="s">
        <v>74</v>
      </c>
      <c r="D284" t="s">
        <v>74</v>
      </c>
      <c r="E284" t="s">
        <v>74</v>
      </c>
      <c r="F284" t="s">
        <v>4062</v>
      </c>
      <c r="G284" t="s">
        <v>74</v>
      </c>
      <c r="H284" t="s">
        <v>74</v>
      </c>
      <c r="I284" t="s">
        <v>4063</v>
      </c>
      <c r="J284" t="s">
        <v>3955</v>
      </c>
      <c r="K284" t="s">
        <v>74</v>
      </c>
      <c r="L284" t="s">
        <v>74</v>
      </c>
      <c r="M284" t="s">
        <v>77</v>
      </c>
      <c r="N284" t="s">
        <v>103</v>
      </c>
      <c r="O284" t="s">
        <v>74</v>
      </c>
      <c r="P284" t="s">
        <v>74</v>
      </c>
      <c r="Q284" t="s">
        <v>74</v>
      </c>
      <c r="R284" t="s">
        <v>74</v>
      </c>
      <c r="S284" t="s">
        <v>74</v>
      </c>
      <c r="T284" t="s">
        <v>4064</v>
      </c>
      <c r="U284" t="s">
        <v>4065</v>
      </c>
      <c r="V284" t="s">
        <v>4066</v>
      </c>
      <c r="W284" t="s">
        <v>4067</v>
      </c>
      <c r="X284" t="s">
        <v>2975</v>
      </c>
      <c r="Y284" t="s">
        <v>4068</v>
      </c>
      <c r="Z284" t="s">
        <v>74</v>
      </c>
      <c r="AA284" t="s">
        <v>74</v>
      </c>
      <c r="AB284" t="s">
        <v>4069</v>
      </c>
      <c r="AC284" t="s">
        <v>74</v>
      </c>
      <c r="AD284" t="s">
        <v>74</v>
      </c>
      <c r="AE284" t="s">
        <v>74</v>
      </c>
      <c r="AF284" t="s">
        <v>74</v>
      </c>
      <c r="AG284">
        <v>20</v>
      </c>
      <c r="AH284">
        <v>15</v>
      </c>
      <c r="AI284">
        <v>20</v>
      </c>
      <c r="AJ284">
        <v>2</v>
      </c>
      <c r="AK284">
        <v>9</v>
      </c>
      <c r="AL284" t="s">
        <v>948</v>
      </c>
      <c r="AM284" t="s">
        <v>278</v>
      </c>
      <c r="AN284" t="s">
        <v>949</v>
      </c>
      <c r="AO284" t="s">
        <v>3956</v>
      </c>
      <c r="AP284" t="s">
        <v>74</v>
      </c>
      <c r="AQ284" t="s">
        <v>74</v>
      </c>
      <c r="AR284" t="s">
        <v>3957</v>
      </c>
      <c r="AS284" t="s">
        <v>3958</v>
      </c>
      <c r="AT284" t="s">
        <v>3946</v>
      </c>
      <c r="AU284">
        <v>1998</v>
      </c>
      <c r="AV284">
        <v>10</v>
      </c>
      <c r="AW284">
        <v>4</v>
      </c>
      <c r="AX284" t="s">
        <v>74</v>
      </c>
      <c r="AY284" t="s">
        <v>74</v>
      </c>
      <c r="AZ284" t="s">
        <v>74</v>
      </c>
      <c r="BA284" t="s">
        <v>74</v>
      </c>
      <c r="BB284">
        <v>449</v>
      </c>
      <c r="BC284">
        <v>454</v>
      </c>
      <c r="BD284" t="s">
        <v>74</v>
      </c>
      <c r="BE284" t="s">
        <v>4070</v>
      </c>
      <c r="BF284" t="str">
        <f>HYPERLINK("http://dx.doi.org/10.1017/S0954102098000546","http://dx.doi.org/10.1017/S0954102098000546")</f>
        <v>http://dx.doi.org/10.1017/S0954102098000546</v>
      </c>
      <c r="BG284" t="s">
        <v>74</v>
      </c>
      <c r="BH284" t="s">
        <v>74</v>
      </c>
      <c r="BI284">
        <v>6</v>
      </c>
      <c r="BJ284" t="s">
        <v>3960</v>
      </c>
      <c r="BK284" t="s">
        <v>95</v>
      </c>
      <c r="BL284" t="s">
        <v>3961</v>
      </c>
      <c r="BM284" t="s">
        <v>3962</v>
      </c>
      <c r="BN284" t="s">
        <v>74</v>
      </c>
      <c r="BO284" t="s">
        <v>74</v>
      </c>
      <c r="BP284" t="s">
        <v>74</v>
      </c>
      <c r="BQ284" t="s">
        <v>74</v>
      </c>
      <c r="BR284" t="s">
        <v>98</v>
      </c>
      <c r="BS284" t="s">
        <v>4071</v>
      </c>
      <c r="BT284" t="str">
        <f>HYPERLINK("https%3A%2F%2Fwww.webofscience.com%2Fwos%2Fwoscc%2Ffull-record%2FWOS:000077839300011","View Full Record in Web of Science")</f>
        <v>View Full Record in Web of Science</v>
      </c>
    </row>
    <row r="285" spans="1:72" x14ac:dyDescent="0.15">
      <c r="A285" t="s">
        <v>72</v>
      </c>
      <c r="B285" t="s">
        <v>4072</v>
      </c>
      <c r="C285" t="s">
        <v>74</v>
      </c>
      <c r="D285" t="s">
        <v>74</v>
      </c>
      <c r="E285" t="s">
        <v>74</v>
      </c>
      <c r="F285" t="s">
        <v>4072</v>
      </c>
      <c r="G285" t="s">
        <v>74</v>
      </c>
      <c r="H285" t="s">
        <v>74</v>
      </c>
      <c r="I285" t="s">
        <v>4073</v>
      </c>
      <c r="J285" t="s">
        <v>3955</v>
      </c>
      <c r="K285" t="s">
        <v>74</v>
      </c>
      <c r="L285" t="s">
        <v>74</v>
      </c>
      <c r="M285" t="s">
        <v>77</v>
      </c>
      <c r="N285" t="s">
        <v>103</v>
      </c>
      <c r="O285" t="s">
        <v>74</v>
      </c>
      <c r="P285" t="s">
        <v>74</v>
      </c>
      <c r="Q285" t="s">
        <v>74</v>
      </c>
      <c r="R285" t="s">
        <v>74</v>
      </c>
      <c r="S285" t="s">
        <v>74</v>
      </c>
      <c r="T285" t="s">
        <v>4074</v>
      </c>
      <c r="U285" t="s">
        <v>4075</v>
      </c>
      <c r="V285" t="s">
        <v>4076</v>
      </c>
      <c r="W285" t="s">
        <v>944</v>
      </c>
      <c r="X285" t="s">
        <v>628</v>
      </c>
      <c r="Y285" t="s">
        <v>4077</v>
      </c>
      <c r="Z285" t="s">
        <v>74</v>
      </c>
      <c r="AA285" t="s">
        <v>74</v>
      </c>
      <c r="AB285" t="s">
        <v>74</v>
      </c>
      <c r="AC285" t="s">
        <v>74</v>
      </c>
      <c r="AD285" t="s">
        <v>74</v>
      </c>
      <c r="AE285" t="s">
        <v>74</v>
      </c>
      <c r="AF285" t="s">
        <v>74</v>
      </c>
      <c r="AG285">
        <v>23</v>
      </c>
      <c r="AH285">
        <v>26</v>
      </c>
      <c r="AI285">
        <v>27</v>
      </c>
      <c r="AJ285">
        <v>0</v>
      </c>
      <c r="AK285">
        <v>2</v>
      </c>
      <c r="AL285" t="s">
        <v>948</v>
      </c>
      <c r="AM285" t="s">
        <v>278</v>
      </c>
      <c r="AN285" t="s">
        <v>949</v>
      </c>
      <c r="AO285" t="s">
        <v>3956</v>
      </c>
      <c r="AP285" t="s">
        <v>74</v>
      </c>
      <c r="AQ285" t="s">
        <v>74</v>
      </c>
      <c r="AR285" t="s">
        <v>3957</v>
      </c>
      <c r="AS285" t="s">
        <v>3958</v>
      </c>
      <c r="AT285" t="s">
        <v>3946</v>
      </c>
      <c r="AU285">
        <v>1998</v>
      </c>
      <c r="AV285">
        <v>10</v>
      </c>
      <c r="AW285">
        <v>4</v>
      </c>
      <c r="AX285" t="s">
        <v>74</v>
      </c>
      <c r="AY285" t="s">
        <v>74</v>
      </c>
      <c r="AZ285" t="s">
        <v>74</v>
      </c>
      <c r="BA285" t="s">
        <v>74</v>
      </c>
      <c r="BB285">
        <v>455</v>
      </c>
      <c r="BC285">
        <v>461</v>
      </c>
      <c r="BD285" t="s">
        <v>74</v>
      </c>
      <c r="BE285" t="s">
        <v>4078</v>
      </c>
      <c r="BF285" t="str">
        <f>HYPERLINK("http://dx.doi.org/10.1017/S0954102098000558","http://dx.doi.org/10.1017/S0954102098000558")</f>
        <v>http://dx.doi.org/10.1017/S0954102098000558</v>
      </c>
      <c r="BG285" t="s">
        <v>74</v>
      </c>
      <c r="BH285" t="s">
        <v>74</v>
      </c>
      <c r="BI285">
        <v>7</v>
      </c>
      <c r="BJ285" t="s">
        <v>3960</v>
      </c>
      <c r="BK285" t="s">
        <v>95</v>
      </c>
      <c r="BL285" t="s">
        <v>3961</v>
      </c>
      <c r="BM285" t="s">
        <v>3962</v>
      </c>
      <c r="BN285" t="s">
        <v>74</v>
      </c>
      <c r="BO285" t="s">
        <v>74</v>
      </c>
      <c r="BP285" t="s">
        <v>74</v>
      </c>
      <c r="BQ285" t="s">
        <v>74</v>
      </c>
      <c r="BR285" t="s">
        <v>98</v>
      </c>
      <c r="BS285" t="s">
        <v>4079</v>
      </c>
      <c r="BT285" t="str">
        <f>HYPERLINK("https%3A%2F%2Fwww.webofscience.com%2Fwos%2Fwoscc%2Ffull-record%2FWOS:000077839300012","View Full Record in Web of Science")</f>
        <v>View Full Record in Web of Science</v>
      </c>
    </row>
    <row r="286" spans="1:72" x14ac:dyDescent="0.15">
      <c r="A286" t="s">
        <v>72</v>
      </c>
      <c r="B286" t="s">
        <v>4080</v>
      </c>
      <c r="C286" t="s">
        <v>74</v>
      </c>
      <c r="D286" t="s">
        <v>74</v>
      </c>
      <c r="E286" t="s">
        <v>74</v>
      </c>
      <c r="F286" t="s">
        <v>4080</v>
      </c>
      <c r="G286" t="s">
        <v>74</v>
      </c>
      <c r="H286" t="s">
        <v>74</v>
      </c>
      <c r="I286" t="s">
        <v>4081</v>
      </c>
      <c r="J286" t="s">
        <v>3955</v>
      </c>
      <c r="K286" t="s">
        <v>74</v>
      </c>
      <c r="L286" t="s">
        <v>74</v>
      </c>
      <c r="M286" t="s">
        <v>77</v>
      </c>
      <c r="N286" t="s">
        <v>103</v>
      </c>
      <c r="O286" t="s">
        <v>74</v>
      </c>
      <c r="P286" t="s">
        <v>74</v>
      </c>
      <c r="Q286" t="s">
        <v>74</v>
      </c>
      <c r="R286" t="s">
        <v>74</v>
      </c>
      <c r="S286" t="s">
        <v>74</v>
      </c>
      <c r="T286" t="s">
        <v>4082</v>
      </c>
      <c r="U286" t="s">
        <v>4083</v>
      </c>
      <c r="V286" t="s">
        <v>4084</v>
      </c>
      <c r="W286" t="s">
        <v>4085</v>
      </c>
      <c r="X286" t="s">
        <v>4086</v>
      </c>
      <c r="Y286" t="s">
        <v>4087</v>
      </c>
      <c r="Z286" t="s">
        <v>74</v>
      </c>
      <c r="AA286" t="s">
        <v>74</v>
      </c>
      <c r="AB286" t="s">
        <v>74</v>
      </c>
      <c r="AC286" t="s">
        <v>74</v>
      </c>
      <c r="AD286" t="s">
        <v>74</v>
      </c>
      <c r="AE286" t="s">
        <v>74</v>
      </c>
      <c r="AF286" t="s">
        <v>74</v>
      </c>
      <c r="AG286">
        <v>39</v>
      </c>
      <c r="AH286">
        <v>12</v>
      </c>
      <c r="AI286">
        <v>12</v>
      </c>
      <c r="AJ286">
        <v>0</v>
      </c>
      <c r="AK286">
        <v>3</v>
      </c>
      <c r="AL286" t="s">
        <v>948</v>
      </c>
      <c r="AM286" t="s">
        <v>278</v>
      </c>
      <c r="AN286" t="s">
        <v>3974</v>
      </c>
      <c r="AO286" t="s">
        <v>3956</v>
      </c>
      <c r="AP286" t="s">
        <v>3975</v>
      </c>
      <c r="AQ286" t="s">
        <v>74</v>
      </c>
      <c r="AR286" t="s">
        <v>3957</v>
      </c>
      <c r="AS286" t="s">
        <v>3958</v>
      </c>
      <c r="AT286" t="s">
        <v>3946</v>
      </c>
      <c r="AU286">
        <v>1998</v>
      </c>
      <c r="AV286">
        <v>10</v>
      </c>
      <c r="AW286">
        <v>4</v>
      </c>
      <c r="AX286" t="s">
        <v>74</v>
      </c>
      <c r="AY286" t="s">
        <v>74</v>
      </c>
      <c r="AZ286" t="s">
        <v>74</v>
      </c>
      <c r="BA286" t="s">
        <v>74</v>
      </c>
      <c r="BB286">
        <v>462</v>
      </c>
      <c r="BC286">
        <v>475</v>
      </c>
      <c r="BD286" t="s">
        <v>74</v>
      </c>
      <c r="BE286" t="s">
        <v>4088</v>
      </c>
      <c r="BF286" t="str">
        <f>HYPERLINK("http://dx.doi.org/10.1017/S095410209800056X","http://dx.doi.org/10.1017/S095410209800056X")</f>
        <v>http://dx.doi.org/10.1017/S095410209800056X</v>
      </c>
      <c r="BG286" t="s">
        <v>74</v>
      </c>
      <c r="BH286" t="s">
        <v>74</v>
      </c>
      <c r="BI286">
        <v>14</v>
      </c>
      <c r="BJ286" t="s">
        <v>3960</v>
      </c>
      <c r="BK286" t="s">
        <v>95</v>
      </c>
      <c r="BL286" t="s">
        <v>3961</v>
      </c>
      <c r="BM286" t="s">
        <v>3962</v>
      </c>
      <c r="BN286" t="s">
        <v>74</v>
      </c>
      <c r="BO286" t="s">
        <v>74</v>
      </c>
      <c r="BP286" t="s">
        <v>74</v>
      </c>
      <c r="BQ286" t="s">
        <v>74</v>
      </c>
      <c r="BR286" t="s">
        <v>98</v>
      </c>
      <c r="BS286" t="s">
        <v>4089</v>
      </c>
      <c r="BT286" t="str">
        <f>HYPERLINK("https%3A%2F%2Fwww.webofscience.com%2Fwos%2Fwoscc%2Ffull-record%2FWOS:000077839300013","View Full Record in Web of Science")</f>
        <v>View Full Record in Web of Science</v>
      </c>
    </row>
    <row r="287" spans="1:72" x14ac:dyDescent="0.15">
      <c r="A287" t="s">
        <v>72</v>
      </c>
      <c r="B287" t="s">
        <v>4090</v>
      </c>
      <c r="C287" t="s">
        <v>74</v>
      </c>
      <c r="D287" t="s">
        <v>74</v>
      </c>
      <c r="E287" t="s">
        <v>74</v>
      </c>
      <c r="F287" t="s">
        <v>4090</v>
      </c>
      <c r="G287" t="s">
        <v>74</v>
      </c>
      <c r="H287" t="s">
        <v>74</v>
      </c>
      <c r="I287" t="s">
        <v>4091</v>
      </c>
      <c r="J287" t="s">
        <v>3955</v>
      </c>
      <c r="K287" t="s">
        <v>74</v>
      </c>
      <c r="L287" t="s">
        <v>74</v>
      </c>
      <c r="M287" t="s">
        <v>77</v>
      </c>
      <c r="N287" t="s">
        <v>103</v>
      </c>
      <c r="O287" t="s">
        <v>74</v>
      </c>
      <c r="P287" t="s">
        <v>74</v>
      </c>
      <c r="Q287" t="s">
        <v>74</v>
      </c>
      <c r="R287" t="s">
        <v>74</v>
      </c>
      <c r="S287" t="s">
        <v>74</v>
      </c>
      <c r="T287" t="s">
        <v>4092</v>
      </c>
      <c r="U287" t="s">
        <v>4093</v>
      </c>
      <c r="V287" t="s">
        <v>4094</v>
      </c>
      <c r="W287" t="s">
        <v>2295</v>
      </c>
      <c r="X287" t="s">
        <v>2278</v>
      </c>
      <c r="Y287" t="s">
        <v>2296</v>
      </c>
      <c r="Z287" t="s">
        <v>4095</v>
      </c>
      <c r="AA287" t="s">
        <v>74</v>
      </c>
      <c r="AB287" t="s">
        <v>74</v>
      </c>
      <c r="AC287" t="s">
        <v>74</v>
      </c>
      <c r="AD287" t="s">
        <v>74</v>
      </c>
      <c r="AE287" t="s">
        <v>74</v>
      </c>
      <c r="AF287" t="s">
        <v>74</v>
      </c>
      <c r="AG287">
        <v>39</v>
      </c>
      <c r="AH287">
        <v>10</v>
      </c>
      <c r="AI287">
        <v>10</v>
      </c>
      <c r="AJ287">
        <v>0</v>
      </c>
      <c r="AK287">
        <v>2</v>
      </c>
      <c r="AL287" t="s">
        <v>948</v>
      </c>
      <c r="AM287" t="s">
        <v>278</v>
      </c>
      <c r="AN287" t="s">
        <v>949</v>
      </c>
      <c r="AO287" t="s">
        <v>3956</v>
      </c>
      <c r="AP287" t="s">
        <v>74</v>
      </c>
      <c r="AQ287" t="s">
        <v>74</v>
      </c>
      <c r="AR287" t="s">
        <v>3957</v>
      </c>
      <c r="AS287" t="s">
        <v>3958</v>
      </c>
      <c r="AT287" t="s">
        <v>3946</v>
      </c>
      <c r="AU287">
        <v>1998</v>
      </c>
      <c r="AV287">
        <v>10</v>
      </c>
      <c r="AW287">
        <v>4</v>
      </c>
      <c r="AX287" t="s">
        <v>74</v>
      </c>
      <c r="AY287" t="s">
        <v>74</v>
      </c>
      <c r="AZ287" t="s">
        <v>74</v>
      </c>
      <c r="BA287" t="s">
        <v>74</v>
      </c>
      <c r="BB287">
        <v>476</v>
      </c>
      <c r="BC287">
        <v>486</v>
      </c>
      <c r="BD287" t="s">
        <v>74</v>
      </c>
      <c r="BE287" t="s">
        <v>4096</v>
      </c>
      <c r="BF287" t="str">
        <f>HYPERLINK("http://dx.doi.org/10.1017/S0954102098000571","http://dx.doi.org/10.1017/S0954102098000571")</f>
        <v>http://dx.doi.org/10.1017/S0954102098000571</v>
      </c>
      <c r="BG287" t="s">
        <v>74</v>
      </c>
      <c r="BH287" t="s">
        <v>74</v>
      </c>
      <c r="BI287">
        <v>11</v>
      </c>
      <c r="BJ287" t="s">
        <v>3960</v>
      </c>
      <c r="BK287" t="s">
        <v>95</v>
      </c>
      <c r="BL287" t="s">
        <v>3961</v>
      </c>
      <c r="BM287" t="s">
        <v>3962</v>
      </c>
      <c r="BN287" t="s">
        <v>74</v>
      </c>
      <c r="BO287" t="s">
        <v>74</v>
      </c>
      <c r="BP287" t="s">
        <v>74</v>
      </c>
      <c r="BQ287" t="s">
        <v>74</v>
      </c>
      <c r="BR287" t="s">
        <v>98</v>
      </c>
      <c r="BS287" t="s">
        <v>4097</v>
      </c>
      <c r="BT287" t="str">
        <f>HYPERLINK("https%3A%2F%2Fwww.webofscience.com%2Fwos%2Fwoscc%2Ffull-record%2FWOS:000077839300014","View Full Record in Web of Science")</f>
        <v>View Full Record in Web of Science</v>
      </c>
    </row>
    <row r="288" spans="1:72" x14ac:dyDescent="0.15">
      <c r="A288" t="s">
        <v>72</v>
      </c>
      <c r="B288" t="s">
        <v>4098</v>
      </c>
      <c r="C288" t="s">
        <v>74</v>
      </c>
      <c r="D288" t="s">
        <v>74</v>
      </c>
      <c r="E288" t="s">
        <v>74</v>
      </c>
      <c r="F288" t="s">
        <v>4098</v>
      </c>
      <c r="G288" t="s">
        <v>74</v>
      </c>
      <c r="H288" t="s">
        <v>74</v>
      </c>
      <c r="I288" t="s">
        <v>4099</v>
      </c>
      <c r="J288" t="s">
        <v>3955</v>
      </c>
      <c r="K288" t="s">
        <v>74</v>
      </c>
      <c r="L288" t="s">
        <v>74</v>
      </c>
      <c r="M288" t="s">
        <v>77</v>
      </c>
      <c r="N288" t="s">
        <v>103</v>
      </c>
      <c r="O288" t="s">
        <v>74</v>
      </c>
      <c r="P288" t="s">
        <v>74</v>
      </c>
      <c r="Q288" t="s">
        <v>74</v>
      </c>
      <c r="R288" t="s">
        <v>74</v>
      </c>
      <c r="S288" t="s">
        <v>74</v>
      </c>
      <c r="T288" t="s">
        <v>4100</v>
      </c>
      <c r="U288" t="s">
        <v>4101</v>
      </c>
      <c r="V288" t="s">
        <v>4102</v>
      </c>
      <c r="W288" t="s">
        <v>4103</v>
      </c>
      <c r="X288" t="s">
        <v>4104</v>
      </c>
      <c r="Y288" t="s">
        <v>4105</v>
      </c>
      <c r="Z288" t="s">
        <v>74</v>
      </c>
      <c r="AA288" t="s">
        <v>4106</v>
      </c>
      <c r="AB288" t="s">
        <v>4107</v>
      </c>
      <c r="AC288" t="s">
        <v>74</v>
      </c>
      <c r="AD288" t="s">
        <v>74</v>
      </c>
      <c r="AE288" t="s">
        <v>74</v>
      </c>
      <c r="AF288" t="s">
        <v>74</v>
      </c>
      <c r="AG288">
        <v>28</v>
      </c>
      <c r="AH288">
        <v>3</v>
      </c>
      <c r="AI288">
        <v>3</v>
      </c>
      <c r="AJ288">
        <v>0</v>
      </c>
      <c r="AK288">
        <v>2</v>
      </c>
      <c r="AL288" t="s">
        <v>948</v>
      </c>
      <c r="AM288" t="s">
        <v>278</v>
      </c>
      <c r="AN288" t="s">
        <v>949</v>
      </c>
      <c r="AO288" t="s">
        <v>3956</v>
      </c>
      <c r="AP288" t="s">
        <v>74</v>
      </c>
      <c r="AQ288" t="s">
        <v>74</v>
      </c>
      <c r="AR288" t="s">
        <v>3957</v>
      </c>
      <c r="AS288" t="s">
        <v>3958</v>
      </c>
      <c r="AT288" t="s">
        <v>3946</v>
      </c>
      <c r="AU288">
        <v>1998</v>
      </c>
      <c r="AV288">
        <v>10</v>
      </c>
      <c r="AW288">
        <v>4</v>
      </c>
      <c r="AX288" t="s">
        <v>74</v>
      </c>
      <c r="AY288" t="s">
        <v>74</v>
      </c>
      <c r="AZ288" t="s">
        <v>74</v>
      </c>
      <c r="BA288" t="s">
        <v>74</v>
      </c>
      <c r="BB288">
        <v>487</v>
      </c>
      <c r="BC288">
        <v>492</v>
      </c>
      <c r="BD288" t="s">
        <v>74</v>
      </c>
      <c r="BE288" t="s">
        <v>4108</v>
      </c>
      <c r="BF288" t="str">
        <f>HYPERLINK("http://dx.doi.org/10.1017/S0954102098000583","http://dx.doi.org/10.1017/S0954102098000583")</f>
        <v>http://dx.doi.org/10.1017/S0954102098000583</v>
      </c>
      <c r="BG288" t="s">
        <v>74</v>
      </c>
      <c r="BH288" t="s">
        <v>74</v>
      </c>
      <c r="BI288">
        <v>6</v>
      </c>
      <c r="BJ288" t="s">
        <v>3960</v>
      </c>
      <c r="BK288" t="s">
        <v>95</v>
      </c>
      <c r="BL288" t="s">
        <v>3961</v>
      </c>
      <c r="BM288" t="s">
        <v>3962</v>
      </c>
      <c r="BN288" t="s">
        <v>74</v>
      </c>
      <c r="BO288" t="s">
        <v>74</v>
      </c>
      <c r="BP288" t="s">
        <v>74</v>
      </c>
      <c r="BQ288" t="s">
        <v>74</v>
      </c>
      <c r="BR288" t="s">
        <v>98</v>
      </c>
      <c r="BS288" t="s">
        <v>4109</v>
      </c>
      <c r="BT288" t="str">
        <f>HYPERLINK("https%3A%2F%2Fwww.webofscience.com%2Fwos%2Fwoscc%2Ffull-record%2FWOS:000077839300015","View Full Record in Web of Science")</f>
        <v>View Full Record in Web of Science</v>
      </c>
    </row>
    <row r="289" spans="1:72" x14ac:dyDescent="0.15">
      <c r="A289" t="s">
        <v>72</v>
      </c>
      <c r="B289" t="s">
        <v>4110</v>
      </c>
      <c r="C289" t="s">
        <v>74</v>
      </c>
      <c r="D289" t="s">
        <v>74</v>
      </c>
      <c r="E289" t="s">
        <v>74</v>
      </c>
      <c r="F289" t="s">
        <v>4110</v>
      </c>
      <c r="G289" t="s">
        <v>74</v>
      </c>
      <c r="H289" t="s">
        <v>74</v>
      </c>
      <c r="I289" t="s">
        <v>4111</v>
      </c>
      <c r="J289" t="s">
        <v>3955</v>
      </c>
      <c r="K289" t="s">
        <v>74</v>
      </c>
      <c r="L289" t="s">
        <v>74</v>
      </c>
      <c r="M289" t="s">
        <v>77</v>
      </c>
      <c r="N289" t="s">
        <v>103</v>
      </c>
      <c r="O289" t="s">
        <v>74</v>
      </c>
      <c r="P289" t="s">
        <v>74</v>
      </c>
      <c r="Q289" t="s">
        <v>74</v>
      </c>
      <c r="R289" t="s">
        <v>74</v>
      </c>
      <c r="S289" t="s">
        <v>74</v>
      </c>
      <c r="T289" t="s">
        <v>4112</v>
      </c>
      <c r="U289" t="s">
        <v>4113</v>
      </c>
      <c r="V289" t="s">
        <v>4114</v>
      </c>
      <c r="W289" t="s">
        <v>4115</v>
      </c>
      <c r="X289" t="s">
        <v>4116</v>
      </c>
      <c r="Y289" t="s">
        <v>4117</v>
      </c>
      <c r="Z289" t="s">
        <v>4118</v>
      </c>
      <c r="AA289" t="s">
        <v>74</v>
      </c>
      <c r="AB289" t="s">
        <v>74</v>
      </c>
      <c r="AC289" t="s">
        <v>74</v>
      </c>
      <c r="AD289" t="s">
        <v>74</v>
      </c>
      <c r="AE289" t="s">
        <v>74</v>
      </c>
      <c r="AF289" t="s">
        <v>74</v>
      </c>
      <c r="AG289">
        <v>20</v>
      </c>
      <c r="AH289">
        <v>2</v>
      </c>
      <c r="AI289">
        <v>2</v>
      </c>
      <c r="AJ289">
        <v>0</v>
      </c>
      <c r="AK289">
        <v>0</v>
      </c>
      <c r="AL289" t="s">
        <v>948</v>
      </c>
      <c r="AM289" t="s">
        <v>278</v>
      </c>
      <c r="AN289" t="s">
        <v>949</v>
      </c>
      <c r="AO289" t="s">
        <v>3956</v>
      </c>
      <c r="AP289" t="s">
        <v>74</v>
      </c>
      <c r="AQ289" t="s">
        <v>74</v>
      </c>
      <c r="AR289" t="s">
        <v>3957</v>
      </c>
      <c r="AS289" t="s">
        <v>3958</v>
      </c>
      <c r="AT289" t="s">
        <v>3946</v>
      </c>
      <c r="AU289">
        <v>1998</v>
      </c>
      <c r="AV289">
        <v>10</v>
      </c>
      <c r="AW289">
        <v>4</v>
      </c>
      <c r="AX289" t="s">
        <v>74</v>
      </c>
      <c r="AY289" t="s">
        <v>74</v>
      </c>
      <c r="AZ289" t="s">
        <v>74</v>
      </c>
      <c r="BA289" t="s">
        <v>74</v>
      </c>
      <c r="BB289">
        <v>493</v>
      </c>
      <c r="BC289">
        <v>501</v>
      </c>
      <c r="BD289" t="s">
        <v>74</v>
      </c>
      <c r="BE289" t="s">
        <v>4119</v>
      </c>
      <c r="BF289" t="str">
        <f>HYPERLINK("http://dx.doi.org/10.1017/S0954102098000595","http://dx.doi.org/10.1017/S0954102098000595")</f>
        <v>http://dx.doi.org/10.1017/S0954102098000595</v>
      </c>
      <c r="BG289" t="s">
        <v>74</v>
      </c>
      <c r="BH289" t="s">
        <v>74</v>
      </c>
      <c r="BI289">
        <v>9</v>
      </c>
      <c r="BJ289" t="s">
        <v>3960</v>
      </c>
      <c r="BK289" t="s">
        <v>95</v>
      </c>
      <c r="BL289" t="s">
        <v>3961</v>
      </c>
      <c r="BM289" t="s">
        <v>3962</v>
      </c>
      <c r="BN289" t="s">
        <v>74</v>
      </c>
      <c r="BO289" t="s">
        <v>74</v>
      </c>
      <c r="BP289" t="s">
        <v>74</v>
      </c>
      <c r="BQ289" t="s">
        <v>74</v>
      </c>
      <c r="BR289" t="s">
        <v>98</v>
      </c>
      <c r="BS289" t="s">
        <v>4120</v>
      </c>
      <c r="BT289" t="str">
        <f>HYPERLINK("https%3A%2F%2Fwww.webofscience.com%2Fwos%2Fwoscc%2Ffull-record%2FWOS:000077839300016","View Full Record in Web of Science")</f>
        <v>View Full Record in Web of Science</v>
      </c>
    </row>
    <row r="290" spans="1:72" x14ac:dyDescent="0.15">
      <c r="A290" t="s">
        <v>72</v>
      </c>
      <c r="B290" t="s">
        <v>4121</v>
      </c>
      <c r="C290" t="s">
        <v>74</v>
      </c>
      <c r="D290" t="s">
        <v>74</v>
      </c>
      <c r="E290" t="s">
        <v>74</v>
      </c>
      <c r="F290" t="s">
        <v>4121</v>
      </c>
      <c r="G290" t="s">
        <v>74</v>
      </c>
      <c r="H290" t="s">
        <v>74</v>
      </c>
      <c r="I290" t="s">
        <v>4122</v>
      </c>
      <c r="J290" t="s">
        <v>3955</v>
      </c>
      <c r="K290" t="s">
        <v>74</v>
      </c>
      <c r="L290" t="s">
        <v>74</v>
      </c>
      <c r="M290" t="s">
        <v>77</v>
      </c>
      <c r="N290" t="s">
        <v>103</v>
      </c>
      <c r="O290" t="s">
        <v>74</v>
      </c>
      <c r="P290" t="s">
        <v>74</v>
      </c>
      <c r="Q290" t="s">
        <v>74</v>
      </c>
      <c r="R290" t="s">
        <v>74</v>
      </c>
      <c r="S290" t="s">
        <v>74</v>
      </c>
      <c r="T290" t="s">
        <v>4123</v>
      </c>
      <c r="U290" t="s">
        <v>74</v>
      </c>
      <c r="V290" t="s">
        <v>4124</v>
      </c>
      <c r="W290" t="s">
        <v>4125</v>
      </c>
      <c r="X290" t="s">
        <v>4126</v>
      </c>
      <c r="Y290" t="s">
        <v>4127</v>
      </c>
      <c r="Z290" t="s">
        <v>4128</v>
      </c>
      <c r="AA290" t="s">
        <v>74</v>
      </c>
      <c r="AB290" t="s">
        <v>74</v>
      </c>
      <c r="AC290" t="s">
        <v>74</v>
      </c>
      <c r="AD290" t="s">
        <v>74</v>
      </c>
      <c r="AE290" t="s">
        <v>74</v>
      </c>
      <c r="AF290" t="s">
        <v>74</v>
      </c>
      <c r="AG290">
        <v>12</v>
      </c>
      <c r="AH290">
        <v>2</v>
      </c>
      <c r="AI290">
        <v>2</v>
      </c>
      <c r="AJ290">
        <v>0</v>
      </c>
      <c r="AK290">
        <v>2</v>
      </c>
      <c r="AL290" t="s">
        <v>948</v>
      </c>
      <c r="AM290" t="s">
        <v>278</v>
      </c>
      <c r="AN290" t="s">
        <v>3974</v>
      </c>
      <c r="AO290" t="s">
        <v>3956</v>
      </c>
      <c r="AP290" t="s">
        <v>3975</v>
      </c>
      <c r="AQ290" t="s">
        <v>74</v>
      </c>
      <c r="AR290" t="s">
        <v>3957</v>
      </c>
      <c r="AS290" t="s">
        <v>3958</v>
      </c>
      <c r="AT290" t="s">
        <v>3946</v>
      </c>
      <c r="AU290">
        <v>1998</v>
      </c>
      <c r="AV290">
        <v>10</v>
      </c>
      <c r="AW290">
        <v>4</v>
      </c>
      <c r="AX290" t="s">
        <v>74</v>
      </c>
      <c r="AY290" t="s">
        <v>74</v>
      </c>
      <c r="AZ290" t="s">
        <v>74</v>
      </c>
      <c r="BA290" t="s">
        <v>74</v>
      </c>
      <c r="BB290">
        <v>502</v>
      </c>
      <c r="BC290">
        <v>506</v>
      </c>
      <c r="BD290" t="s">
        <v>74</v>
      </c>
      <c r="BE290" t="s">
        <v>4129</v>
      </c>
      <c r="BF290" t="str">
        <f>HYPERLINK("http://dx.doi.org/10.1017/S0954102098000601","http://dx.doi.org/10.1017/S0954102098000601")</f>
        <v>http://dx.doi.org/10.1017/S0954102098000601</v>
      </c>
      <c r="BG290" t="s">
        <v>74</v>
      </c>
      <c r="BH290" t="s">
        <v>74</v>
      </c>
      <c r="BI290">
        <v>5</v>
      </c>
      <c r="BJ290" t="s">
        <v>3960</v>
      </c>
      <c r="BK290" t="s">
        <v>95</v>
      </c>
      <c r="BL290" t="s">
        <v>3961</v>
      </c>
      <c r="BM290" t="s">
        <v>3962</v>
      </c>
      <c r="BN290" t="s">
        <v>74</v>
      </c>
      <c r="BO290" t="s">
        <v>74</v>
      </c>
      <c r="BP290" t="s">
        <v>74</v>
      </c>
      <c r="BQ290" t="s">
        <v>74</v>
      </c>
      <c r="BR290" t="s">
        <v>98</v>
      </c>
      <c r="BS290" t="s">
        <v>4130</v>
      </c>
      <c r="BT290" t="str">
        <f>HYPERLINK("https%3A%2F%2Fwww.webofscience.com%2Fwos%2Fwoscc%2Ffull-record%2FWOS:000077839300017","View Full Record in Web of Science")</f>
        <v>View Full Record in Web of Science</v>
      </c>
    </row>
    <row r="291" spans="1:72" x14ac:dyDescent="0.15">
      <c r="A291" t="s">
        <v>72</v>
      </c>
      <c r="B291" t="s">
        <v>4131</v>
      </c>
      <c r="C291" t="s">
        <v>74</v>
      </c>
      <c r="D291" t="s">
        <v>74</v>
      </c>
      <c r="E291" t="s">
        <v>74</v>
      </c>
      <c r="F291" t="s">
        <v>4131</v>
      </c>
      <c r="G291" t="s">
        <v>74</v>
      </c>
      <c r="H291" t="s">
        <v>74</v>
      </c>
      <c r="I291" t="s">
        <v>4132</v>
      </c>
      <c r="J291" t="s">
        <v>4133</v>
      </c>
      <c r="K291" t="s">
        <v>74</v>
      </c>
      <c r="L291" t="s">
        <v>74</v>
      </c>
      <c r="M291" t="s">
        <v>77</v>
      </c>
      <c r="N291" t="s">
        <v>103</v>
      </c>
      <c r="O291" t="s">
        <v>74</v>
      </c>
      <c r="P291" t="s">
        <v>74</v>
      </c>
      <c r="Q291" t="s">
        <v>74</v>
      </c>
      <c r="R291" t="s">
        <v>74</v>
      </c>
      <c r="S291" t="s">
        <v>74</v>
      </c>
      <c r="T291" t="s">
        <v>4134</v>
      </c>
      <c r="U291" t="s">
        <v>4135</v>
      </c>
      <c r="V291" t="s">
        <v>4136</v>
      </c>
      <c r="W291" t="s">
        <v>4137</v>
      </c>
      <c r="X291" t="s">
        <v>4138</v>
      </c>
      <c r="Y291" t="s">
        <v>4139</v>
      </c>
      <c r="Z291" t="s">
        <v>4140</v>
      </c>
      <c r="AA291" t="s">
        <v>74</v>
      </c>
      <c r="AB291" t="s">
        <v>4141</v>
      </c>
      <c r="AC291" t="s">
        <v>74</v>
      </c>
      <c r="AD291" t="s">
        <v>74</v>
      </c>
      <c r="AE291" t="s">
        <v>74</v>
      </c>
      <c r="AF291" t="s">
        <v>74</v>
      </c>
      <c r="AG291">
        <v>44</v>
      </c>
      <c r="AH291">
        <v>29</v>
      </c>
      <c r="AI291">
        <v>50</v>
      </c>
      <c r="AJ291">
        <v>0</v>
      </c>
      <c r="AK291">
        <v>18</v>
      </c>
      <c r="AL291" t="s">
        <v>4142</v>
      </c>
      <c r="AM291" t="s">
        <v>1101</v>
      </c>
      <c r="AN291" t="s">
        <v>4143</v>
      </c>
      <c r="AO291" t="s">
        <v>4144</v>
      </c>
      <c r="AP291" t="s">
        <v>74</v>
      </c>
      <c r="AQ291" t="s">
        <v>74</v>
      </c>
      <c r="AR291" t="s">
        <v>4145</v>
      </c>
      <c r="AS291" t="s">
        <v>4146</v>
      </c>
      <c r="AT291" t="s">
        <v>4147</v>
      </c>
      <c r="AU291">
        <v>1998</v>
      </c>
      <c r="AV291">
        <v>360</v>
      </c>
      <c r="AW291">
        <v>1</v>
      </c>
      <c r="AX291" t="s">
        <v>74</v>
      </c>
      <c r="AY291" t="s">
        <v>74</v>
      </c>
      <c r="AZ291" t="s">
        <v>74</v>
      </c>
      <c r="BA291" t="s">
        <v>74</v>
      </c>
      <c r="BB291">
        <v>25</v>
      </c>
      <c r="BC291">
        <v>32</v>
      </c>
      <c r="BD291" t="s">
        <v>74</v>
      </c>
      <c r="BE291" t="s">
        <v>4148</v>
      </c>
      <c r="BF291" t="str">
        <f>HYPERLINK("http://dx.doi.org/10.1006/abbi.1998.0930","http://dx.doi.org/10.1006/abbi.1998.0930")</f>
        <v>http://dx.doi.org/10.1006/abbi.1998.0930</v>
      </c>
      <c r="BG291" t="s">
        <v>74</v>
      </c>
      <c r="BH291" t="s">
        <v>74</v>
      </c>
      <c r="BI291">
        <v>8</v>
      </c>
      <c r="BJ291" t="s">
        <v>1650</v>
      </c>
      <c r="BK291" t="s">
        <v>95</v>
      </c>
      <c r="BL291" t="s">
        <v>1650</v>
      </c>
      <c r="BM291" t="s">
        <v>4149</v>
      </c>
      <c r="BN291">
        <v>9826425</v>
      </c>
      <c r="BO291" t="s">
        <v>1429</v>
      </c>
      <c r="BP291" t="s">
        <v>74</v>
      </c>
      <c r="BQ291" t="s">
        <v>74</v>
      </c>
      <c r="BR291" t="s">
        <v>98</v>
      </c>
      <c r="BS291" t="s">
        <v>4150</v>
      </c>
      <c r="BT291" t="str">
        <f>HYPERLINK("https%3A%2F%2Fwww.webofscience.com%2Fwos%2Fwoscc%2Ffull-record%2FWOS:000077357100004","View Full Record in Web of Science")</f>
        <v>View Full Record in Web of Science</v>
      </c>
    </row>
    <row r="292" spans="1:72" x14ac:dyDescent="0.15">
      <c r="A292" t="s">
        <v>72</v>
      </c>
      <c r="B292" t="s">
        <v>4151</v>
      </c>
      <c r="C292" t="s">
        <v>74</v>
      </c>
      <c r="D292" t="s">
        <v>74</v>
      </c>
      <c r="E292" t="s">
        <v>74</v>
      </c>
      <c r="F292" t="s">
        <v>4151</v>
      </c>
      <c r="G292" t="s">
        <v>74</v>
      </c>
      <c r="H292" t="s">
        <v>74</v>
      </c>
      <c r="I292" t="s">
        <v>4152</v>
      </c>
      <c r="J292" t="s">
        <v>4153</v>
      </c>
      <c r="K292" t="s">
        <v>74</v>
      </c>
      <c r="L292" t="s">
        <v>74</v>
      </c>
      <c r="M292" t="s">
        <v>77</v>
      </c>
      <c r="N292" t="s">
        <v>103</v>
      </c>
      <c r="O292" t="s">
        <v>74</v>
      </c>
      <c r="P292" t="s">
        <v>74</v>
      </c>
      <c r="Q292" t="s">
        <v>74</v>
      </c>
      <c r="R292" t="s">
        <v>74</v>
      </c>
      <c r="S292" t="s">
        <v>74</v>
      </c>
      <c r="T292" t="s">
        <v>74</v>
      </c>
      <c r="U292" t="s">
        <v>4154</v>
      </c>
      <c r="V292" t="s">
        <v>74</v>
      </c>
      <c r="W292" t="s">
        <v>4155</v>
      </c>
      <c r="X292" t="s">
        <v>628</v>
      </c>
      <c r="Y292" t="s">
        <v>4156</v>
      </c>
      <c r="Z292" t="s">
        <v>74</v>
      </c>
      <c r="AA292" t="s">
        <v>74</v>
      </c>
      <c r="AB292" t="s">
        <v>74</v>
      </c>
      <c r="AC292" t="s">
        <v>74</v>
      </c>
      <c r="AD292" t="s">
        <v>74</v>
      </c>
      <c r="AE292" t="s">
        <v>74</v>
      </c>
      <c r="AF292" t="s">
        <v>74</v>
      </c>
      <c r="AG292">
        <v>10</v>
      </c>
      <c r="AH292">
        <v>1</v>
      </c>
      <c r="AI292">
        <v>1</v>
      </c>
      <c r="AJ292">
        <v>0</v>
      </c>
      <c r="AK292">
        <v>2</v>
      </c>
      <c r="AL292" t="s">
        <v>4157</v>
      </c>
      <c r="AM292" t="s">
        <v>4158</v>
      </c>
      <c r="AN292" t="s">
        <v>4159</v>
      </c>
      <c r="AO292" t="s">
        <v>4160</v>
      </c>
      <c r="AP292" t="s">
        <v>74</v>
      </c>
      <c r="AQ292" t="s">
        <v>74</v>
      </c>
      <c r="AR292" t="s">
        <v>4161</v>
      </c>
      <c r="AS292" t="s">
        <v>4162</v>
      </c>
      <c r="AT292" t="s">
        <v>3946</v>
      </c>
      <c r="AU292">
        <v>1998</v>
      </c>
      <c r="AV292">
        <v>39</v>
      </c>
      <c r="AW292">
        <v>6</v>
      </c>
      <c r="AX292" t="s">
        <v>74</v>
      </c>
      <c r="AY292" t="s">
        <v>74</v>
      </c>
      <c r="AZ292" t="s">
        <v>74</v>
      </c>
      <c r="BA292" t="s">
        <v>74</v>
      </c>
      <c r="BB292">
        <v>29</v>
      </c>
      <c r="BC292">
        <v>29</v>
      </c>
      <c r="BD292" t="s">
        <v>74</v>
      </c>
      <c r="BE292" t="s">
        <v>4163</v>
      </c>
      <c r="BF292" t="str">
        <f>HYPERLINK("http://dx.doi.org/10.1093/astrog/39.6.6.29","http://dx.doi.org/10.1093/astrog/39.6.6.29")</f>
        <v>http://dx.doi.org/10.1093/astrog/39.6.6.29</v>
      </c>
      <c r="BG292" t="s">
        <v>74</v>
      </c>
      <c r="BH292" t="s">
        <v>74</v>
      </c>
      <c r="BI292">
        <v>1</v>
      </c>
      <c r="BJ292" t="s">
        <v>4164</v>
      </c>
      <c r="BK292" t="s">
        <v>95</v>
      </c>
      <c r="BL292" t="s">
        <v>4164</v>
      </c>
      <c r="BM292" t="s">
        <v>4165</v>
      </c>
      <c r="BN292" t="s">
        <v>74</v>
      </c>
      <c r="BO292" t="s">
        <v>1089</v>
      </c>
      <c r="BP292" t="s">
        <v>74</v>
      </c>
      <c r="BQ292" t="s">
        <v>74</v>
      </c>
      <c r="BR292" t="s">
        <v>98</v>
      </c>
      <c r="BS292" t="s">
        <v>4166</v>
      </c>
      <c r="BT292" t="str">
        <f>HYPERLINK("https%3A%2F%2Fwww.webofscience.com%2Fwos%2Fwoscc%2Ffull-record%2FWOS:000077249100022","View Full Record in Web of Science")</f>
        <v>View Full Record in Web of Science</v>
      </c>
    </row>
    <row r="293" spans="1:72" x14ac:dyDescent="0.15">
      <c r="A293" t="s">
        <v>72</v>
      </c>
      <c r="B293" t="s">
        <v>4167</v>
      </c>
      <c r="C293" t="s">
        <v>74</v>
      </c>
      <c r="D293" t="s">
        <v>74</v>
      </c>
      <c r="E293" t="s">
        <v>74</v>
      </c>
      <c r="F293" t="s">
        <v>4167</v>
      </c>
      <c r="G293" t="s">
        <v>74</v>
      </c>
      <c r="H293" t="s">
        <v>74</v>
      </c>
      <c r="I293" t="s">
        <v>4168</v>
      </c>
      <c r="J293" t="s">
        <v>4169</v>
      </c>
      <c r="K293" t="s">
        <v>74</v>
      </c>
      <c r="L293" t="s">
        <v>74</v>
      </c>
      <c r="M293" t="s">
        <v>77</v>
      </c>
      <c r="N293" t="s">
        <v>103</v>
      </c>
      <c r="O293" t="s">
        <v>74</v>
      </c>
      <c r="P293" t="s">
        <v>74</v>
      </c>
      <c r="Q293" t="s">
        <v>74</v>
      </c>
      <c r="R293" t="s">
        <v>74</v>
      </c>
      <c r="S293" t="s">
        <v>74</v>
      </c>
      <c r="T293" t="s">
        <v>4170</v>
      </c>
      <c r="U293" t="s">
        <v>4171</v>
      </c>
      <c r="V293" t="s">
        <v>4172</v>
      </c>
      <c r="W293" t="s">
        <v>4173</v>
      </c>
      <c r="X293" t="s">
        <v>4174</v>
      </c>
      <c r="Y293" t="s">
        <v>4175</v>
      </c>
      <c r="Z293" t="s">
        <v>74</v>
      </c>
      <c r="AA293" t="s">
        <v>4176</v>
      </c>
      <c r="AB293" t="s">
        <v>4177</v>
      </c>
      <c r="AC293" t="s">
        <v>74</v>
      </c>
      <c r="AD293" t="s">
        <v>74</v>
      </c>
      <c r="AE293" t="s">
        <v>74</v>
      </c>
      <c r="AF293" t="s">
        <v>74</v>
      </c>
      <c r="AG293">
        <v>25</v>
      </c>
      <c r="AH293">
        <v>117</v>
      </c>
      <c r="AI293">
        <v>124</v>
      </c>
      <c r="AJ293">
        <v>0</v>
      </c>
      <c r="AK293">
        <v>25</v>
      </c>
      <c r="AL293" t="s">
        <v>4178</v>
      </c>
      <c r="AM293" t="s">
        <v>967</v>
      </c>
      <c r="AN293" t="s">
        <v>4179</v>
      </c>
      <c r="AO293" t="s">
        <v>4180</v>
      </c>
      <c r="AP293" t="s">
        <v>74</v>
      </c>
      <c r="AQ293" t="s">
        <v>74</v>
      </c>
      <c r="AR293" t="s">
        <v>4169</v>
      </c>
      <c r="AS293" t="s">
        <v>4181</v>
      </c>
      <c r="AT293" t="s">
        <v>3946</v>
      </c>
      <c r="AU293">
        <v>1998</v>
      </c>
      <c r="AV293">
        <v>54</v>
      </c>
      <c r="AW293">
        <v>4</v>
      </c>
      <c r="AX293" t="s">
        <v>74</v>
      </c>
      <c r="AY293" t="s">
        <v>74</v>
      </c>
      <c r="AZ293" t="s">
        <v>74</v>
      </c>
      <c r="BA293" t="s">
        <v>74</v>
      </c>
      <c r="BB293">
        <v>1207</v>
      </c>
      <c r="BC293">
        <v>1220</v>
      </c>
      <c r="BD293" t="s">
        <v>74</v>
      </c>
      <c r="BE293" t="s">
        <v>4182</v>
      </c>
      <c r="BF293" t="str">
        <f>HYPERLINK("http://dx.doi.org/10.2307/2533651","http://dx.doi.org/10.2307/2533651")</f>
        <v>http://dx.doi.org/10.2307/2533651</v>
      </c>
      <c r="BG293" t="s">
        <v>74</v>
      </c>
      <c r="BH293" t="s">
        <v>74</v>
      </c>
      <c r="BI293">
        <v>14</v>
      </c>
      <c r="BJ293" t="s">
        <v>4183</v>
      </c>
      <c r="BK293" t="s">
        <v>95</v>
      </c>
      <c r="BL293" t="s">
        <v>4184</v>
      </c>
      <c r="BM293" t="s">
        <v>4185</v>
      </c>
      <c r="BN293" t="s">
        <v>74</v>
      </c>
      <c r="BO293" t="s">
        <v>74</v>
      </c>
      <c r="BP293" t="s">
        <v>74</v>
      </c>
      <c r="BQ293" t="s">
        <v>74</v>
      </c>
      <c r="BR293" t="s">
        <v>98</v>
      </c>
      <c r="BS293" t="s">
        <v>4186</v>
      </c>
      <c r="BT293" t="str">
        <f>HYPERLINK("https%3A%2F%2Fwww.webofscience.com%2Fwos%2Fwoscc%2Ffull-record%2FWOS:000077898700001","View Full Record in Web of Science")</f>
        <v>View Full Record in Web of Science</v>
      </c>
    </row>
    <row r="294" spans="1:72" x14ac:dyDescent="0.15">
      <c r="A294" t="s">
        <v>72</v>
      </c>
      <c r="B294" t="s">
        <v>4187</v>
      </c>
      <c r="C294" t="s">
        <v>74</v>
      </c>
      <c r="D294" t="s">
        <v>74</v>
      </c>
      <c r="E294" t="s">
        <v>74</v>
      </c>
      <c r="F294" t="s">
        <v>4187</v>
      </c>
      <c r="G294" t="s">
        <v>74</v>
      </c>
      <c r="H294" t="s">
        <v>74</v>
      </c>
      <c r="I294" t="s">
        <v>4188</v>
      </c>
      <c r="J294" t="s">
        <v>4189</v>
      </c>
      <c r="K294" t="s">
        <v>74</v>
      </c>
      <c r="L294" t="s">
        <v>74</v>
      </c>
      <c r="M294" t="s">
        <v>77</v>
      </c>
      <c r="N294" t="s">
        <v>103</v>
      </c>
      <c r="O294" t="s">
        <v>74</v>
      </c>
      <c r="P294" t="s">
        <v>74</v>
      </c>
      <c r="Q294" t="s">
        <v>74</v>
      </c>
      <c r="R294" t="s">
        <v>74</v>
      </c>
      <c r="S294" t="s">
        <v>74</v>
      </c>
      <c r="T294" t="s">
        <v>74</v>
      </c>
      <c r="U294" t="s">
        <v>4190</v>
      </c>
      <c r="V294" t="s">
        <v>4191</v>
      </c>
      <c r="W294" t="s">
        <v>4192</v>
      </c>
      <c r="X294" t="s">
        <v>4193</v>
      </c>
      <c r="Y294" t="s">
        <v>4194</v>
      </c>
      <c r="Z294" t="s">
        <v>74</v>
      </c>
      <c r="AA294" t="s">
        <v>74</v>
      </c>
      <c r="AB294" t="s">
        <v>74</v>
      </c>
      <c r="AC294" t="s">
        <v>74</v>
      </c>
      <c r="AD294" t="s">
        <v>74</v>
      </c>
      <c r="AE294" t="s">
        <v>74</v>
      </c>
      <c r="AF294" t="s">
        <v>74</v>
      </c>
      <c r="AG294">
        <v>34</v>
      </c>
      <c r="AH294">
        <v>84</v>
      </c>
      <c r="AI294">
        <v>92</v>
      </c>
      <c r="AJ294">
        <v>0</v>
      </c>
      <c r="AK294">
        <v>18</v>
      </c>
      <c r="AL294" t="s">
        <v>805</v>
      </c>
      <c r="AM294" t="s">
        <v>866</v>
      </c>
      <c r="AN294" t="s">
        <v>867</v>
      </c>
      <c r="AO294" t="s">
        <v>4195</v>
      </c>
      <c r="AP294" t="s">
        <v>74</v>
      </c>
      <c r="AQ294" t="s">
        <v>74</v>
      </c>
      <c r="AR294" t="s">
        <v>4189</v>
      </c>
      <c r="AS294" t="s">
        <v>4196</v>
      </c>
      <c r="AT294" t="s">
        <v>3946</v>
      </c>
      <c r="AU294">
        <v>1998</v>
      </c>
      <c r="AV294">
        <v>40</v>
      </c>
      <c r="AW294" t="s">
        <v>1282</v>
      </c>
      <c r="AX294" t="s">
        <v>74</v>
      </c>
      <c r="AY294" t="s">
        <v>74</v>
      </c>
      <c r="AZ294" t="s">
        <v>74</v>
      </c>
      <c r="BA294" t="s">
        <v>74</v>
      </c>
      <c r="BB294">
        <v>605</v>
      </c>
      <c r="BC294">
        <v>624</v>
      </c>
      <c r="BD294" t="s">
        <v>74</v>
      </c>
      <c r="BE294" t="s">
        <v>4197</v>
      </c>
      <c r="BF294" t="str">
        <f>HYPERLINK("http://dx.doi.org/10.1023/A:1005320713306","http://dx.doi.org/10.1023/A:1005320713306")</f>
        <v>http://dx.doi.org/10.1023/A:1005320713306</v>
      </c>
      <c r="BG294" t="s">
        <v>74</v>
      </c>
      <c r="BH294" t="s">
        <v>74</v>
      </c>
      <c r="BI294">
        <v>20</v>
      </c>
      <c r="BJ294" t="s">
        <v>1374</v>
      </c>
      <c r="BK294" t="s">
        <v>95</v>
      </c>
      <c r="BL294" t="s">
        <v>1375</v>
      </c>
      <c r="BM294" t="s">
        <v>4198</v>
      </c>
      <c r="BN294" t="s">
        <v>74</v>
      </c>
      <c r="BO294" t="s">
        <v>74</v>
      </c>
      <c r="BP294" t="s">
        <v>74</v>
      </c>
      <c r="BQ294" t="s">
        <v>74</v>
      </c>
      <c r="BR294" t="s">
        <v>98</v>
      </c>
      <c r="BS294" t="s">
        <v>4199</v>
      </c>
      <c r="BT294" t="str">
        <f>HYPERLINK("https%3A%2F%2Fwww.webofscience.com%2Fwos%2Fwoscc%2Ffull-record%2FWOS:000076952400008","View Full Record in Web of Science")</f>
        <v>View Full Record in Web of Science</v>
      </c>
    </row>
    <row r="295" spans="1:72" x14ac:dyDescent="0.15">
      <c r="A295" t="s">
        <v>72</v>
      </c>
      <c r="B295" t="s">
        <v>4200</v>
      </c>
      <c r="C295" t="s">
        <v>74</v>
      </c>
      <c r="D295" t="s">
        <v>74</v>
      </c>
      <c r="E295" t="s">
        <v>74</v>
      </c>
      <c r="F295" t="s">
        <v>4200</v>
      </c>
      <c r="G295" t="s">
        <v>74</v>
      </c>
      <c r="H295" t="s">
        <v>74</v>
      </c>
      <c r="I295" t="s">
        <v>4201</v>
      </c>
      <c r="J295" t="s">
        <v>4202</v>
      </c>
      <c r="K295" t="s">
        <v>74</v>
      </c>
      <c r="L295" t="s">
        <v>74</v>
      </c>
      <c r="M295" t="s">
        <v>77</v>
      </c>
      <c r="N295" t="s">
        <v>103</v>
      </c>
      <c r="O295" t="s">
        <v>74</v>
      </c>
      <c r="P295" t="s">
        <v>74</v>
      </c>
      <c r="Q295" t="s">
        <v>74</v>
      </c>
      <c r="R295" t="s">
        <v>74</v>
      </c>
      <c r="S295" t="s">
        <v>74</v>
      </c>
      <c r="T295" t="s">
        <v>4203</v>
      </c>
      <c r="U295" t="s">
        <v>74</v>
      </c>
      <c r="V295" t="s">
        <v>4204</v>
      </c>
      <c r="W295" t="s">
        <v>4205</v>
      </c>
      <c r="X295" t="s">
        <v>4206</v>
      </c>
      <c r="Y295" t="s">
        <v>4207</v>
      </c>
      <c r="Z295" t="s">
        <v>74</v>
      </c>
      <c r="AA295" t="s">
        <v>4208</v>
      </c>
      <c r="AB295" t="s">
        <v>74</v>
      </c>
      <c r="AC295" t="s">
        <v>74</v>
      </c>
      <c r="AD295" t="s">
        <v>74</v>
      </c>
      <c r="AE295" t="s">
        <v>74</v>
      </c>
      <c r="AF295" t="s">
        <v>74</v>
      </c>
      <c r="AG295">
        <v>31</v>
      </c>
      <c r="AH295">
        <v>11</v>
      </c>
      <c r="AI295">
        <v>13</v>
      </c>
      <c r="AJ295">
        <v>0</v>
      </c>
      <c r="AK295">
        <v>17</v>
      </c>
      <c r="AL295" t="s">
        <v>1037</v>
      </c>
      <c r="AM295" t="s">
        <v>1038</v>
      </c>
      <c r="AN295" t="s">
        <v>1039</v>
      </c>
      <c r="AO295" t="s">
        <v>4209</v>
      </c>
      <c r="AP295" t="s">
        <v>4210</v>
      </c>
      <c r="AQ295" t="s">
        <v>74</v>
      </c>
      <c r="AR295" t="s">
        <v>4211</v>
      </c>
      <c r="AS295" t="s">
        <v>4212</v>
      </c>
      <c r="AT295" t="s">
        <v>3946</v>
      </c>
      <c r="AU295">
        <v>1998</v>
      </c>
      <c r="AV295">
        <v>28</v>
      </c>
      <c r="AW295">
        <v>3</v>
      </c>
      <c r="AX295" t="s">
        <v>74</v>
      </c>
      <c r="AY295" t="s">
        <v>74</v>
      </c>
      <c r="AZ295" t="s">
        <v>74</v>
      </c>
      <c r="BA295" t="s">
        <v>74</v>
      </c>
      <c r="BB295">
        <v>189</v>
      </c>
      <c r="BC295">
        <v>202</v>
      </c>
      <c r="BD295" t="s">
        <v>74</v>
      </c>
      <c r="BE295" t="s">
        <v>4213</v>
      </c>
      <c r="BF295" t="str">
        <f>HYPERLINK("http://dx.doi.org/10.1016/S0165-232X(98)00019-6","http://dx.doi.org/10.1016/S0165-232X(98)00019-6")</f>
        <v>http://dx.doi.org/10.1016/S0165-232X(98)00019-6</v>
      </c>
      <c r="BG295" t="s">
        <v>74</v>
      </c>
      <c r="BH295" t="s">
        <v>74</v>
      </c>
      <c r="BI295">
        <v>14</v>
      </c>
      <c r="BJ295" t="s">
        <v>4214</v>
      </c>
      <c r="BK295" t="s">
        <v>95</v>
      </c>
      <c r="BL295" t="s">
        <v>4215</v>
      </c>
      <c r="BM295" t="s">
        <v>4216</v>
      </c>
      <c r="BN295" t="s">
        <v>74</v>
      </c>
      <c r="BO295" t="s">
        <v>74</v>
      </c>
      <c r="BP295" t="s">
        <v>74</v>
      </c>
      <c r="BQ295" t="s">
        <v>74</v>
      </c>
      <c r="BR295" t="s">
        <v>98</v>
      </c>
      <c r="BS295" t="s">
        <v>4217</v>
      </c>
      <c r="BT295" t="str">
        <f>HYPERLINK("https%3A%2F%2Fwww.webofscience.com%2Fwos%2Fwoscc%2Ffull-record%2FWOS:000078553500004","View Full Record in Web of Science")</f>
        <v>View Full Record in Web of Science</v>
      </c>
    </row>
    <row r="296" spans="1:72" x14ac:dyDescent="0.15">
      <c r="A296" t="s">
        <v>72</v>
      </c>
      <c r="B296" t="s">
        <v>4218</v>
      </c>
      <c r="C296" t="s">
        <v>74</v>
      </c>
      <c r="D296" t="s">
        <v>74</v>
      </c>
      <c r="E296" t="s">
        <v>74</v>
      </c>
      <c r="F296" t="s">
        <v>4218</v>
      </c>
      <c r="G296" t="s">
        <v>74</v>
      </c>
      <c r="H296" t="s">
        <v>74</v>
      </c>
      <c r="I296" t="s">
        <v>4219</v>
      </c>
      <c r="J296" t="s">
        <v>4220</v>
      </c>
      <c r="K296" t="s">
        <v>74</v>
      </c>
      <c r="L296" t="s">
        <v>74</v>
      </c>
      <c r="M296" t="s">
        <v>77</v>
      </c>
      <c r="N296" t="s">
        <v>103</v>
      </c>
      <c r="O296" t="s">
        <v>74</v>
      </c>
      <c r="P296" t="s">
        <v>74</v>
      </c>
      <c r="Q296" t="s">
        <v>74</v>
      </c>
      <c r="R296" t="s">
        <v>74</v>
      </c>
      <c r="S296" t="s">
        <v>74</v>
      </c>
      <c r="T296" t="s">
        <v>4221</v>
      </c>
      <c r="U296" t="s">
        <v>4222</v>
      </c>
      <c r="V296" t="s">
        <v>4223</v>
      </c>
      <c r="W296" t="s">
        <v>4224</v>
      </c>
      <c r="X296" t="s">
        <v>4225</v>
      </c>
      <c r="Y296" t="s">
        <v>4226</v>
      </c>
      <c r="Z296" t="s">
        <v>4227</v>
      </c>
      <c r="AA296" t="s">
        <v>4228</v>
      </c>
      <c r="AB296" t="s">
        <v>74</v>
      </c>
      <c r="AC296" t="s">
        <v>74</v>
      </c>
      <c r="AD296" t="s">
        <v>74</v>
      </c>
      <c r="AE296" t="s">
        <v>74</v>
      </c>
      <c r="AF296" t="s">
        <v>74</v>
      </c>
      <c r="AG296">
        <v>31</v>
      </c>
      <c r="AH296">
        <v>16</v>
      </c>
      <c r="AI296">
        <v>16</v>
      </c>
      <c r="AJ296">
        <v>0</v>
      </c>
      <c r="AK296">
        <v>3</v>
      </c>
      <c r="AL296" t="s">
        <v>375</v>
      </c>
      <c r="AM296" t="s">
        <v>376</v>
      </c>
      <c r="AN296" t="s">
        <v>377</v>
      </c>
      <c r="AO296" t="s">
        <v>4229</v>
      </c>
      <c r="AP296" t="s">
        <v>74</v>
      </c>
      <c r="AQ296" t="s">
        <v>74</v>
      </c>
      <c r="AR296" t="s">
        <v>4230</v>
      </c>
      <c r="AS296" t="s">
        <v>4231</v>
      </c>
      <c r="AT296" t="s">
        <v>3946</v>
      </c>
      <c r="AU296">
        <v>1998</v>
      </c>
      <c r="AV296">
        <v>327</v>
      </c>
      <c r="AW296">
        <v>12</v>
      </c>
      <c r="AX296" t="s">
        <v>74</v>
      </c>
      <c r="AY296" t="s">
        <v>74</v>
      </c>
      <c r="AZ296" t="s">
        <v>74</v>
      </c>
      <c r="BA296" t="s">
        <v>74</v>
      </c>
      <c r="BB296">
        <v>795</v>
      </c>
      <c r="BC296">
        <v>801</v>
      </c>
      <c r="BD296" t="s">
        <v>74</v>
      </c>
      <c r="BE296" t="s">
        <v>4232</v>
      </c>
      <c r="BF296" t="str">
        <f>HYPERLINK("http://dx.doi.org/10.1016/S1251-8050(99)80053-6","http://dx.doi.org/10.1016/S1251-8050(99)80053-6")</f>
        <v>http://dx.doi.org/10.1016/S1251-8050(99)80053-6</v>
      </c>
      <c r="BG296" t="s">
        <v>74</v>
      </c>
      <c r="BH296" t="s">
        <v>74</v>
      </c>
      <c r="BI296">
        <v>7</v>
      </c>
      <c r="BJ296" t="s">
        <v>192</v>
      </c>
      <c r="BK296" t="s">
        <v>95</v>
      </c>
      <c r="BL296" t="s">
        <v>193</v>
      </c>
      <c r="BM296" t="s">
        <v>4233</v>
      </c>
      <c r="BN296" t="s">
        <v>74</v>
      </c>
      <c r="BO296" t="s">
        <v>74</v>
      </c>
      <c r="BP296" t="s">
        <v>74</v>
      </c>
      <c r="BQ296" t="s">
        <v>74</v>
      </c>
      <c r="BR296" t="s">
        <v>98</v>
      </c>
      <c r="BS296" t="s">
        <v>4234</v>
      </c>
      <c r="BT296" t="str">
        <f>HYPERLINK("https%3A%2F%2Fwww.webofscience.com%2Fwos%2Fwoscc%2Ffull-record%2FWOS:000078160200003","View Full Record in Web of Science")</f>
        <v>View Full Record in Web of Science</v>
      </c>
    </row>
    <row r="297" spans="1:72" x14ac:dyDescent="0.15">
      <c r="A297" t="s">
        <v>72</v>
      </c>
      <c r="B297" t="s">
        <v>4235</v>
      </c>
      <c r="C297" t="s">
        <v>74</v>
      </c>
      <c r="D297" t="s">
        <v>74</v>
      </c>
      <c r="E297" t="s">
        <v>74</v>
      </c>
      <c r="F297" t="s">
        <v>4235</v>
      </c>
      <c r="G297" t="s">
        <v>74</v>
      </c>
      <c r="H297" t="s">
        <v>74</v>
      </c>
      <c r="I297" t="s">
        <v>4236</v>
      </c>
      <c r="J297" t="s">
        <v>4237</v>
      </c>
      <c r="K297" t="s">
        <v>74</v>
      </c>
      <c r="L297" t="s">
        <v>74</v>
      </c>
      <c r="M297" t="s">
        <v>77</v>
      </c>
      <c r="N297" t="s">
        <v>103</v>
      </c>
      <c r="O297" t="s">
        <v>74</v>
      </c>
      <c r="P297" t="s">
        <v>74</v>
      </c>
      <c r="Q297" t="s">
        <v>74</v>
      </c>
      <c r="R297" t="s">
        <v>74</v>
      </c>
      <c r="S297" t="s">
        <v>74</v>
      </c>
      <c r="T297" t="s">
        <v>74</v>
      </c>
      <c r="U297" t="s">
        <v>4238</v>
      </c>
      <c r="V297" t="s">
        <v>4239</v>
      </c>
      <c r="W297" t="s">
        <v>4240</v>
      </c>
      <c r="X297" t="s">
        <v>4241</v>
      </c>
      <c r="Y297" t="s">
        <v>4242</v>
      </c>
      <c r="Z297" t="s">
        <v>74</v>
      </c>
      <c r="AA297" t="s">
        <v>74</v>
      </c>
      <c r="AB297" t="s">
        <v>74</v>
      </c>
      <c r="AC297" t="s">
        <v>74</v>
      </c>
      <c r="AD297" t="s">
        <v>74</v>
      </c>
      <c r="AE297" t="s">
        <v>74</v>
      </c>
      <c r="AF297" t="s">
        <v>74</v>
      </c>
      <c r="AG297">
        <v>34</v>
      </c>
      <c r="AH297">
        <v>99</v>
      </c>
      <c r="AI297">
        <v>123</v>
      </c>
      <c r="AJ297">
        <v>2</v>
      </c>
      <c r="AK297">
        <v>50</v>
      </c>
      <c r="AL297" t="s">
        <v>4243</v>
      </c>
      <c r="AM297" t="s">
        <v>1121</v>
      </c>
      <c r="AN297" t="s">
        <v>4244</v>
      </c>
      <c r="AO297" t="s">
        <v>4245</v>
      </c>
      <c r="AP297" t="s">
        <v>74</v>
      </c>
      <c r="AQ297" t="s">
        <v>74</v>
      </c>
      <c r="AR297" t="s">
        <v>4246</v>
      </c>
      <c r="AS297" t="s">
        <v>4247</v>
      </c>
      <c r="AT297" t="s">
        <v>3946</v>
      </c>
      <c r="AU297">
        <v>1998</v>
      </c>
      <c r="AV297">
        <v>8</v>
      </c>
      <c r="AW297">
        <v>6</v>
      </c>
      <c r="AX297" t="s">
        <v>74</v>
      </c>
      <c r="AY297" t="s">
        <v>74</v>
      </c>
      <c r="AZ297" t="s">
        <v>74</v>
      </c>
      <c r="BA297" t="s">
        <v>74</v>
      </c>
      <c r="BB297">
        <v>715</v>
      </c>
      <c r="BC297">
        <v>720</v>
      </c>
      <c r="BD297" t="s">
        <v>74</v>
      </c>
      <c r="BE297" t="s">
        <v>4248</v>
      </c>
      <c r="BF297" t="str">
        <f>HYPERLINK("http://dx.doi.org/10.1016/S0959-437X(98)80042-7","http://dx.doi.org/10.1016/S0959-437X(98)80042-7")</f>
        <v>http://dx.doi.org/10.1016/S0959-437X(98)80042-7</v>
      </c>
      <c r="BG297" t="s">
        <v>74</v>
      </c>
      <c r="BH297" t="s">
        <v>74</v>
      </c>
      <c r="BI297">
        <v>6</v>
      </c>
      <c r="BJ297" t="s">
        <v>414</v>
      </c>
      <c r="BK297" t="s">
        <v>95</v>
      </c>
      <c r="BL297" t="s">
        <v>414</v>
      </c>
      <c r="BM297" t="s">
        <v>4249</v>
      </c>
      <c r="BN297">
        <v>9914209</v>
      </c>
      <c r="BO297" t="s">
        <v>74</v>
      </c>
      <c r="BP297" t="s">
        <v>74</v>
      </c>
      <c r="BQ297" t="s">
        <v>74</v>
      </c>
      <c r="BR297" t="s">
        <v>98</v>
      </c>
      <c r="BS297" t="s">
        <v>4250</v>
      </c>
      <c r="BT297" t="str">
        <f>HYPERLINK("https%3A%2F%2Fwww.webofscience.com%2Fwos%2Fwoscc%2Ffull-record%2FWOS:000077614100016","View Full Record in Web of Science")</f>
        <v>View Full Record in Web of Science</v>
      </c>
    </row>
    <row r="298" spans="1:72" x14ac:dyDescent="0.15">
      <c r="A298" t="s">
        <v>72</v>
      </c>
      <c r="B298" t="s">
        <v>4251</v>
      </c>
      <c r="C298" t="s">
        <v>74</v>
      </c>
      <c r="D298" t="s">
        <v>74</v>
      </c>
      <c r="E298" t="s">
        <v>74</v>
      </c>
      <c r="F298" t="s">
        <v>4251</v>
      </c>
      <c r="G298" t="s">
        <v>74</v>
      </c>
      <c r="H298" t="s">
        <v>74</v>
      </c>
      <c r="I298" t="s">
        <v>4252</v>
      </c>
      <c r="J298" t="s">
        <v>645</v>
      </c>
      <c r="K298" t="s">
        <v>74</v>
      </c>
      <c r="L298" t="s">
        <v>74</v>
      </c>
      <c r="M298" t="s">
        <v>77</v>
      </c>
      <c r="N298" t="s">
        <v>103</v>
      </c>
      <c r="O298" t="s">
        <v>74</v>
      </c>
      <c r="P298" t="s">
        <v>74</v>
      </c>
      <c r="Q298" t="s">
        <v>74</v>
      </c>
      <c r="R298" t="s">
        <v>74</v>
      </c>
      <c r="S298" t="s">
        <v>74</v>
      </c>
      <c r="T298" t="s">
        <v>4253</v>
      </c>
      <c r="U298" t="s">
        <v>4254</v>
      </c>
      <c r="V298" t="s">
        <v>4255</v>
      </c>
      <c r="W298" t="s">
        <v>4256</v>
      </c>
      <c r="X298" t="s">
        <v>4257</v>
      </c>
      <c r="Y298" t="s">
        <v>4258</v>
      </c>
      <c r="Z298" t="s">
        <v>74</v>
      </c>
      <c r="AA298" t="s">
        <v>4259</v>
      </c>
      <c r="AB298" t="s">
        <v>4260</v>
      </c>
      <c r="AC298" t="s">
        <v>74</v>
      </c>
      <c r="AD298" t="s">
        <v>74</v>
      </c>
      <c r="AE298" t="s">
        <v>74</v>
      </c>
      <c r="AF298" t="s">
        <v>74</v>
      </c>
      <c r="AG298">
        <v>73</v>
      </c>
      <c r="AH298">
        <v>72</v>
      </c>
      <c r="AI298">
        <v>85</v>
      </c>
      <c r="AJ298">
        <v>0</v>
      </c>
      <c r="AK298">
        <v>116</v>
      </c>
      <c r="AL298" t="s">
        <v>655</v>
      </c>
      <c r="AM298" t="s">
        <v>656</v>
      </c>
      <c r="AN298" t="s">
        <v>657</v>
      </c>
      <c r="AO298" t="s">
        <v>658</v>
      </c>
      <c r="AP298" t="s">
        <v>659</v>
      </c>
      <c r="AQ298" t="s">
        <v>74</v>
      </c>
      <c r="AR298" t="s">
        <v>645</v>
      </c>
      <c r="AS298" t="s">
        <v>660</v>
      </c>
      <c r="AT298" t="s">
        <v>3946</v>
      </c>
      <c r="AU298">
        <v>1998</v>
      </c>
      <c r="AV298">
        <v>79</v>
      </c>
      <c r="AW298">
        <v>8</v>
      </c>
      <c r="AX298" t="s">
        <v>74</v>
      </c>
      <c r="AY298" t="s">
        <v>74</v>
      </c>
      <c r="AZ298" t="s">
        <v>74</v>
      </c>
      <c r="BA298" t="s">
        <v>74</v>
      </c>
      <c r="BB298">
        <v>2863</v>
      </c>
      <c r="BC298">
        <v>2877</v>
      </c>
      <c r="BD298" t="s">
        <v>74</v>
      </c>
      <c r="BE298" t="s">
        <v>4261</v>
      </c>
      <c r="BF298" t="str">
        <f>HYPERLINK("http://dx.doi.org/10.1890/0012-9658(1998)079[2863:PGOAFS]2.0.CO;2","http://dx.doi.org/10.1890/0012-9658(1998)079[2863:PGOAFS]2.0.CO;2")</f>
        <v>http://dx.doi.org/10.1890/0012-9658(1998)079[2863:PGOAFS]2.0.CO;2</v>
      </c>
      <c r="BG298" t="s">
        <v>74</v>
      </c>
      <c r="BH298" t="s">
        <v>74</v>
      </c>
      <c r="BI298">
        <v>15</v>
      </c>
      <c r="BJ298" t="s">
        <v>660</v>
      </c>
      <c r="BK298" t="s">
        <v>95</v>
      </c>
      <c r="BL298" t="s">
        <v>661</v>
      </c>
      <c r="BM298" t="s">
        <v>4262</v>
      </c>
      <c r="BN298" t="s">
        <v>74</v>
      </c>
      <c r="BO298" t="s">
        <v>483</v>
      </c>
      <c r="BP298" t="s">
        <v>74</v>
      </c>
      <c r="BQ298" t="s">
        <v>74</v>
      </c>
      <c r="BR298" t="s">
        <v>98</v>
      </c>
      <c r="BS298" t="s">
        <v>4263</v>
      </c>
      <c r="BT298" t="str">
        <f>HYPERLINK("https%3A%2F%2Fwww.webofscience.com%2Fwos%2Fwoscc%2Ffull-record%2FWOS:000077501000021","View Full Record in Web of Science")</f>
        <v>View Full Record in Web of Science</v>
      </c>
    </row>
    <row r="299" spans="1:72" x14ac:dyDescent="0.15">
      <c r="A299" t="s">
        <v>72</v>
      </c>
      <c r="B299" t="s">
        <v>4264</v>
      </c>
      <c r="C299" t="s">
        <v>74</v>
      </c>
      <c r="D299" t="s">
        <v>74</v>
      </c>
      <c r="E299" t="s">
        <v>74</v>
      </c>
      <c r="F299" t="s">
        <v>4264</v>
      </c>
      <c r="G299" t="s">
        <v>74</v>
      </c>
      <c r="H299" t="s">
        <v>74</v>
      </c>
      <c r="I299" t="s">
        <v>4265</v>
      </c>
      <c r="J299" t="s">
        <v>4266</v>
      </c>
      <c r="K299" t="s">
        <v>74</v>
      </c>
      <c r="L299" t="s">
        <v>74</v>
      </c>
      <c r="M299" t="s">
        <v>77</v>
      </c>
      <c r="N299" t="s">
        <v>103</v>
      </c>
      <c r="O299" t="s">
        <v>74</v>
      </c>
      <c r="P299" t="s">
        <v>74</v>
      </c>
      <c r="Q299" t="s">
        <v>74</v>
      </c>
      <c r="R299" t="s">
        <v>74</v>
      </c>
      <c r="S299" t="s">
        <v>74</v>
      </c>
      <c r="T299" t="s">
        <v>4267</v>
      </c>
      <c r="U299" t="s">
        <v>4268</v>
      </c>
      <c r="V299" t="s">
        <v>4269</v>
      </c>
      <c r="W299" t="s">
        <v>4270</v>
      </c>
      <c r="X299" t="s">
        <v>4271</v>
      </c>
      <c r="Y299" t="s">
        <v>4272</v>
      </c>
      <c r="Z299" t="s">
        <v>74</v>
      </c>
      <c r="AA299" t="s">
        <v>74</v>
      </c>
      <c r="AB299" t="s">
        <v>74</v>
      </c>
      <c r="AC299" t="s">
        <v>74</v>
      </c>
      <c r="AD299" t="s">
        <v>74</v>
      </c>
      <c r="AE299" t="s">
        <v>74</v>
      </c>
      <c r="AF299" t="s">
        <v>74</v>
      </c>
      <c r="AG299">
        <v>11</v>
      </c>
      <c r="AH299">
        <v>14</v>
      </c>
      <c r="AI299">
        <v>16</v>
      </c>
      <c r="AJ299">
        <v>0</v>
      </c>
      <c r="AK299">
        <v>14</v>
      </c>
      <c r="AL299" t="s">
        <v>887</v>
      </c>
      <c r="AM299" t="s">
        <v>278</v>
      </c>
      <c r="AN299" t="s">
        <v>888</v>
      </c>
      <c r="AO299" t="s">
        <v>4273</v>
      </c>
      <c r="AP299" t="s">
        <v>74</v>
      </c>
      <c r="AQ299" t="s">
        <v>74</v>
      </c>
      <c r="AR299" t="s">
        <v>4274</v>
      </c>
      <c r="AS299" t="s">
        <v>4275</v>
      </c>
      <c r="AT299" t="s">
        <v>3946</v>
      </c>
      <c r="AU299">
        <v>1998</v>
      </c>
      <c r="AV299">
        <v>36</v>
      </c>
      <c r="AW299" t="s">
        <v>1282</v>
      </c>
      <c r="AX299" t="s">
        <v>74</v>
      </c>
      <c r="AY299" t="s">
        <v>74</v>
      </c>
      <c r="AZ299" t="s">
        <v>74</v>
      </c>
      <c r="BA299" t="s">
        <v>74</v>
      </c>
      <c r="BB299">
        <v>207</v>
      </c>
      <c r="BC299">
        <v>214</v>
      </c>
      <c r="BD299" t="s">
        <v>74</v>
      </c>
      <c r="BE299" t="s">
        <v>4276</v>
      </c>
      <c r="BF299" t="str">
        <f>HYPERLINK("http://dx.doi.org/10.1007/s002540050336","http://dx.doi.org/10.1007/s002540050336")</f>
        <v>http://dx.doi.org/10.1007/s002540050336</v>
      </c>
      <c r="BG299" t="s">
        <v>74</v>
      </c>
      <c r="BH299" t="s">
        <v>74</v>
      </c>
      <c r="BI299">
        <v>8</v>
      </c>
      <c r="BJ299" t="s">
        <v>4277</v>
      </c>
      <c r="BK299" t="s">
        <v>95</v>
      </c>
      <c r="BL299" t="s">
        <v>4278</v>
      </c>
      <c r="BM299" t="s">
        <v>4279</v>
      </c>
      <c r="BN299" t="s">
        <v>74</v>
      </c>
      <c r="BO299" t="s">
        <v>74</v>
      </c>
      <c r="BP299" t="s">
        <v>74</v>
      </c>
      <c r="BQ299" t="s">
        <v>74</v>
      </c>
      <c r="BR299" t="s">
        <v>98</v>
      </c>
      <c r="BS299" t="s">
        <v>4280</v>
      </c>
      <c r="BT299" t="str">
        <f>HYPERLINK("https%3A%2F%2Fwww.webofscience.com%2Fwos%2Fwoscc%2Ffull-record%2FWOS:000077672200002","View Full Record in Web of Science")</f>
        <v>View Full Record in Web of Science</v>
      </c>
    </row>
    <row r="300" spans="1:72" x14ac:dyDescent="0.15">
      <c r="A300" t="s">
        <v>72</v>
      </c>
      <c r="B300" t="s">
        <v>4281</v>
      </c>
      <c r="C300" t="s">
        <v>74</v>
      </c>
      <c r="D300" t="s">
        <v>74</v>
      </c>
      <c r="E300" t="s">
        <v>74</v>
      </c>
      <c r="F300" t="s">
        <v>4281</v>
      </c>
      <c r="G300" t="s">
        <v>74</v>
      </c>
      <c r="H300" t="s">
        <v>74</v>
      </c>
      <c r="I300" t="s">
        <v>4282</v>
      </c>
      <c r="J300" t="s">
        <v>4283</v>
      </c>
      <c r="K300" t="s">
        <v>74</v>
      </c>
      <c r="L300" t="s">
        <v>74</v>
      </c>
      <c r="M300" t="s">
        <v>77</v>
      </c>
      <c r="N300" t="s">
        <v>103</v>
      </c>
      <c r="O300" t="s">
        <v>74</v>
      </c>
      <c r="P300" t="s">
        <v>74</v>
      </c>
      <c r="Q300" t="s">
        <v>74</v>
      </c>
      <c r="R300" t="s">
        <v>74</v>
      </c>
      <c r="S300" t="s">
        <v>74</v>
      </c>
      <c r="T300" t="s">
        <v>74</v>
      </c>
      <c r="U300" t="s">
        <v>4284</v>
      </c>
      <c r="V300" t="s">
        <v>4285</v>
      </c>
      <c r="W300" t="s">
        <v>4286</v>
      </c>
      <c r="X300" t="s">
        <v>4287</v>
      </c>
      <c r="Y300" t="s">
        <v>4288</v>
      </c>
      <c r="Z300" t="s">
        <v>74</v>
      </c>
      <c r="AA300" t="s">
        <v>4289</v>
      </c>
      <c r="AB300" t="s">
        <v>4290</v>
      </c>
      <c r="AC300" t="s">
        <v>74</v>
      </c>
      <c r="AD300" t="s">
        <v>74</v>
      </c>
      <c r="AE300" t="s">
        <v>74</v>
      </c>
      <c r="AF300" t="s">
        <v>74</v>
      </c>
      <c r="AG300">
        <v>52</v>
      </c>
      <c r="AH300">
        <v>30</v>
      </c>
      <c r="AI300">
        <v>35</v>
      </c>
      <c r="AJ300">
        <v>0</v>
      </c>
      <c r="AK300">
        <v>9</v>
      </c>
      <c r="AL300" t="s">
        <v>4291</v>
      </c>
      <c r="AM300" t="s">
        <v>4292</v>
      </c>
      <c r="AN300" t="s">
        <v>4293</v>
      </c>
      <c r="AO300" t="s">
        <v>4294</v>
      </c>
      <c r="AP300" t="s">
        <v>74</v>
      </c>
      <c r="AQ300" t="s">
        <v>74</v>
      </c>
      <c r="AR300" t="s">
        <v>4283</v>
      </c>
      <c r="AS300" t="s">
        <v>4295</v>
      </c>
      <c r="AT300" t="s">
        <v>3946</v>
      </c>
      <c r="AU300">
        <v>1998</v>
      </c>
      <c r="AV300">
        <v>21</v>
      </c>
      <c r="AW300">
        <v>4</v>
      </c>
      <c r="AX300" t="s">
        <v>74</v>
      </c>
      <c r="AY300" t="s">
        <v>74</v>
      </c>
      <c r="AZ300" t="s">
        <v>74</v>
      </c>
      <c r="BA300" t="s">
        <v>74</v>
      </c>
      <c r="BB300">
        <v>235</v>
      </c>
      <c r="BC300">
        <v>240</v>
      </c>
      <c r="BD300" t="s">
        <v>74</v>
      </c>
      <c r="BE300" t="s">
        <v>74</v>
      </c>
      <c r="BF300" t="s">
        <v>74</v>
      </c>
      <c r="BG300" t="s">
        <v>74</v>
      </c>
      <c r="BH300" t="s">
        <v>74</v>
      </c>
      <c r="BI300">
        <v>6</v>
      </c>
      <c r="BJ300" t="s">
        <v>192</v>
      </c>
      <c r="BK300" t="s">
        <v>95</v>
      </c>
      <c r="BL300" t="s">
        <v>193</v>
      </c>
      <c r="BM300" t="s">
        <v>4296</v>
      </c>
      <c r="BN300" t="s">
        <v>74</v>
      </c>
      <c r="BO300" t="s">
        <v>74</v>
      </c>
      <c r="BP300" t="s">
        <v>74</v>
      </c>
      <c r="BQ300" t="s">
        <v>74</v>
      </c>
      <c r="BR300" t="s">
        <v>98</v>
      </c>
      <c r="BS300" t="s">
        <v>4297</v>
      </c>
      <c r="BT300" t="str">
        <f>HYPERLINK("https%3A%2F%2Fwww.webofscience.com%2Fwos%2Fwoscc%2Ffull-record%2FWOS:000078077200004","View Full Record in Web of Science")</f>
        <v>View Full Record in Web of Science</v>
      </c>
    </row>
    <row r="301" spans="1:72" x14ac:dyDescent="0.15">
      <c r="A301" t="s">
        <v>72</v>
      </c>
      <c r="B301" t="s">
        <v>4298</v>
      </c>
      <c r="C301" t="s">
        <v>74</v>
      </c>
      <c r="D301" t="s">
        <v>74</v>
      </c>
      <c r="E301" t="s">
        <v>74</v>
      </c>
      <c r="F301" t="s">
        <v>4298</v>
      </c>
      <c r="G301" t="s">
        <v>74</v>
      </c>
      <c r="H301" t="s">
        <v>74</v>
      </c>
      <c r="I301" t="s">
        <v>4299</v>
      </c>
      <c r="J301" t="s">
        <v>958</v>
      </c>
      <c r="K301" t="s">
        <v>74</v>
      </c>
      <c r="L301" t="s">
        <v>74</v>
      </c>
      <c r="M301" t="s">
        <v>77</v>
      </c>
      <c r="N301" t="s">
        <v>103</v>
      </c>
      <c r="O301" t="s">
        <v>74</v>
      </c>
      <c r="P301" t="s">
        <v>74</v>
      </c>
      <c r="Q301" t="s">
        <v>74</v>
      </c>
      <c r="R301" t="s">
        <v>74</v>
      </c>
      <c r="S301" t="s">
        <v>74</v>
      </c>
      <c r="T301" t="s">
        <v>74</v>
      </c>
      <c r="U301" t="s">
        <v>4300</v>
      </c>
      <c r="V301" t="s">
        <v>4301</v>
      </c>
      <c r="W301" t="s">
        <v>4302</v>
      </c>
      <c r="X301" t="s">
        <v>4303</v>
      </c>
      <c r="Y301" t="s">
        <v>4304</v>
      </c>
      <c r="Z301" t="s">
        <v>74</v>
      </c>
      <c r="AA301" t="s">
        <v>4305</v>
      </c>
      <c r="AB301" t="s">
        <v>4306</v>
      </c>
      <c r="AC301" t="s">
        <v>74</v>
      </c>
      <c r="AD301" t="s">
        <v>74</v>
      </c>
      <c r="AE301" t="s">
        <v>74</v>
      </c>
      <c r="AF301" t="s">
        <v>74</v>
      </c>
      <c r="AG301">
        <v>15</v>
      </c>
      <c r="AH301">
        <v>14</v>
      </c>
      <c r="AI301">
        <v>14</v>
      </c>
      <c r="AJ301">
        <v>0</v>
      </c>
      <c r="AK301">
        <v>3</v>
      </c>
      <c r="AL301" t="s">
        <v>966</v>
      </c>
      <c r="AM301" t="s">
        <v>967</v>
      </c>
      <c r="AN301" t="s">
        <v>968</v>
      </c>
      <c r="AO301" t="s">
        <v>969</v>
      </c>
      <c r="AP301" t="s">
        <v>74</v>
      </c>
      <c r="AQ301" t="s">
        <v>74</v>
      </c>
      <c r="AR301" t="s">
        <v>970</v>
      </c>
      <c r="AS301" t="s">
        <v>971</v>
      </c>
      <c r="AT301" t="s">
        <v>4147</v>
      </c>
      <c r="AU301">
        <v>1998</v>
      </c>
      <c r="AV301">
        <v>25</v>
      </c>
      <c r="AW301">
        <v>23</v>
      </c>
      <c r="AX301" t="s">
        <v>74</v>
      </c>
      <c r="AY301" t="s">
        <v>74</v>
      </c>
      <c r="AZ301" t="s">
        <v>74</v>
      </c>
      <c r="BA301" t="s">
        <v>74</v>
      </c>
      <c r="BB301">
        <v>4353</v>
      </c>
      <c r="BC301">
        <v>4356</v>
      </c>
      <c r="BD301" t="s">
        <v>74</v>
      </c>
      <c r="BE301" t="s">
        <v>4307</v>
      </c>
      <c r="BF301" t="str">
        <f>HYPERLINK("http://dx.doi.org/10.1029/1998GL900146","http://dx.doi.org/10.1029/1998GL900146")</f>
        <v>http://dx.doi.org/10.1029/1998GL900146</v>
      </c>
      <c r="BG301" t="s">
        <v>74</v>
      </c>
      <c r="BH301" t="s">
        <v>74</v>
      </c>
      <c r="BI301">
        <v>4</v>
      </c>
      <c r="BJ301" t="s">
        <v>192</v>
      </c>
      <c r="BK301" t="s">
        <v>95</v>
      </c>
      <c r="BL301" t="s">
        <v>193</v>
      </c>
      <c r="BM301" t="s">
        <v>4308</v>
      </c>
      <c r="BN301" t="s">
        <v>74</v>
      </c>
      <c r="BO301" t="s">
        <v>2825</v>
      </c>
      <c r="BP301" t="s">
        <v>74</v>
      </c>
      <c r="BQ301" t="s">
        <v>74</v>
      </c>
      <c r="BR301" t="s">
        <v>98</v>
      </c>
      <c r="BS301" t="s">
        <v>4309</v>
      </c>
      <c r="BT301" t="str">
        <f>HYPERLINK("https%3A%2F%2Fwww.webofscience.com%2Fwos%2Fwoscc%2Ffull-record%2FWOS:000077282400029","View Full Record in Web of Science")</f>
        <v>View Full Record in Web of Science</v>
      </c>
    </row>
    <row r="302" spans="1:72" x14ac:dyDescent="0.15">
      <c r="A302" t="s">
        <v>72</v>
      </c>
      <c r="B302" t="s">
        <v>4310</v>
      </c>
      <c r="C302" t="s">
        <v>74</v>
      </c>
      <c r="D302" t="s">
        <v>74</v>
      </c>
      <c r="E302" t="s">
        <v>74</v>
      </c>
      <c r="F302" t="s">
        <v>4310</v>
      </c>
      <c r="G302" t="s">
        <v>74</v>
      </c>
      <c r="H302" t="s">
        <v>74</v>
      </c>
      <c r="I302" t="s">
        <v>4311</v>
      </c>
      <c r="J302" t="s">
        <v>958</v>
      </c>
      <c r="K302" t="s">
        <v>74</v>
      </c>
      <c r="L302" t="s">
        <v>74</v>
      </c>
      <c r="M302" t="s">
        <v>77</v>
      </c>
      <c r="N302" t="s">
        <v>103</v>
      </c>
      <c r="O302" t="s">
        <v>74</v>
      </c>
      <c r="P302" t="s">
        <v>74</v>
      </c>
      <c r="Q302" t="s">
        <v>74</v>
      </c>
      <c r="R302" t="s">
        <v>74</v>
      </c>
      <c r="S302" t="s">
        <v>74</v>
      </c>
      <c r="T302" t="s">
        <v>74</v>
      </c>
      <c r="U302" t="s">
        <v>4312</v>
      </c>
      <c r="V302" t="s">
        <v>4313</v>
      </c>
      <c r="W302" t="s">
        <v>4314</v>
      </c>
      <c r="X302" t="s">
        <v>4315</v>
      </c>
      <c r="Y302" t="s">
        <v>4316</v>
      </c>
      <c r="Z302" t="s">
        <v>74</v>
      </c>
      <c r="AA302" t="s">
        <v>4317</v>
      </c>
      <c r="AB302" t="s">
        <v>4318</v>
      </c>
      <c r="AC302" t="s">
        <v>74</v>
      </c>
      <c r="AD302" t="s">
        <v>74</v>
      </c>
      <c r="AE302" t="s">
        <v>74</v>
      </c>
      <c r="AF302" t="s">
        <v>74</v>
      </c>
      <c r="AG302">
        <v>15</v>
      </c>
      <c r="AH302">
        <v>22</v>
      </c>
      <c r="AI302">
        <v>23</v>
      </c>
      <c r="AJ302">
        <v>0</v>
      </c>
      <c r="AK302">
        <v>2</v>
      </c>
      <c r="AL302" t="s">
        <v>966</v>
      </c>
      <c r="AM302" t="s">
        <v>967</v>
      </c>
      <c r="AN302" t="s">
        <v>968</v>
      </c>
      <c r="AO302" t="s">
        <v>969</v>
      </c>
      <c r="AP302" t="s">
        <v>74</v>
      </c>
      <c r="AQ302" t="s">
        <v>74</v>
      </c>
      <c r="AR302" t="s">
        <v>970</v>
      </c>
      <c r="AS302" t="s">
        <v>971</v>
      </c>
      <c r="AT302" t="s">
        <v>4147</v>
      </c>
      <c r="AU302">
        <v>1998</v>
      </c>
      <c r="AV302">
        <v>25</v>
      </c>
      <c r="AW302">
        <v>23</v>
      </c>
      <c r="AX302" t="s">
        <v>74</v>
      </c>
      <c r="AY302" t="s">
        <v>74</v>
      </c>
      <c r="AZ302" t="s">
        <v>74</v>
      </c>
      <c r="BA302" t="s">
        <v>74</v>
      </c>
      <c r="BB302">
        <v>4385</v>
      </c>
      <c r="BC302">
        <v>4388</v>
      </c>
      <c r="BD302" t="s">
        <v>74</v>
      </c>
      <c r="BE302" t="s">
        <v>4319</v>
      </c>
      <c r="BF302" t="str">
        <f>HYPERLINK("http://dx.doi.org/10.1029/1998GL900101","http://dx.doi.org/10.1029/1998GL900101")</f>
        <v>http://dx.doi.org/10.1029/1998GL900101</v>
      </c>
      <c r="BG302" t="s">
        <v>74</v>
      </c>
      <c r="BH302" t="s">
        <v>74</v>
      </c>
      <c r="BI302">
        <v>4</v>
      </c>
      <c r="BJ302" t="s">
        <v>192</v>
      </c>
      <c r="BK302" t="s">
        <v>95</v>
      </c>
      <c r="BL302" t="s">
        <v>193</v>
      </c>
      <c r="BM302" t="s">
        <v>4308</v>
      </c>
      <c r="BN302" t="s">
        <v>74</v>
      </c>
      <c r="BO302" t="s">
        <v>1089</v>
      </c>
      <c r="BP302" t="s">
        <v>74</v>
      </c>
      <c r="BQ302" t="s">
        <v>74</v>
      </c>
      <c r="BR302" t="s">
        <v>98</v>
      </c>
      <c r="BS302" t="s">
        <v>4320</v>
      </c>
      <c r="BT302" t="str">
        <f>HYPERLINK("https%3A%2F%2Fwww.webofscience.com%2Fwos%2Fwoscc%2Ffull-record%2FWOS:000077282400038","View Full Record in Web of Science")</f>
        <v>View Full Record in Web of Science</v>
      </c>
    </row>
    <row r="303" spans="1:72" x14ac:dyDescent="0.15">
      <c r="A303" t="s">
        <v>72</v>
      </c>
      <c r="B303" t="s">
        <v>4321</v>
      </c>
      <c r="C303" t="s">
        <v>74</v>
      </c>
      <c r="D303" t="s">
        <v>74</v>
      </c>
      <c r="E303" t="s">
        <v>74</v>
      </c>
      <c r="F303" t="s">
        <v>4321</v>
      </c>
      <c r="G303" t="s">
        <v>74</v>
      </c>
      <c r="H303" t="s">
        <v>74</v>
      </c>
      <c r="I303" t="s">
        <v>4322</v>
      </c>
      <c r="J303" t="s">
        <v>4323</v>
      </c>
      <c r="K303" t="s">
        <v>74</v>
      </c>
      <c r="L303" t="s">
        <v>74</v>
      </c>
      <c r="M303" t="s">
        <v>77</v>
      </c>
      <c r="N303" t="s">
        <v>103</v>
      </c>
      <c r="O303" t="s">
        <v>74</v>
      </c>
      <c r="P303" t="s">
        <v>74</v>
      </c>
      <c r="Q303" t="s">
        <v>74</v>
      </c>
      <c r="R303" t="s">
        <v>74</v>
      </c>
      <c r="S303" t="s">
        <v>74</v>
      </c>
      <c r="T303" t="s">
        <v>4324</v>
      </c>
      <c r="U303" t="s">
        <v>4325</v>
      </c>
      <c r="V303" t="s">
        <v>4326</v>
      </c>
      <c r="W303" t="s">
        <v>4327</v>
      </c>
      <c r="X303" t="s">
        <v>4328</v>
      </c>
      <c r="Y303" t="s">
        <v>4329</v>
      </c>
      <c r="Z303" t="s">
        <v>4330</v>
      </c>
      <c r="AA303" t="s">
        <v>74</v>
      </c>
      <c r="AB303" t="s">
        <v>4331</v>
      </c>
      <c r="AC303" t="s">
        <v>74</v>
      </c>
      <c r="AD303" t="s">
        <v>74</v>
      </c>
      <c r="AE303" t="s">
        <v>74</v>
      </c>
      <c r="AF303" t="s">
        <v>74</v>
      </c>
      <c r="AG303">
        <v>16</v>
      </c>
      <c r="AH303">
        <v>32</v>
      </c>
      <c r="AI303">
        <v>33</v>
      </c>
      <c r="AJ303">
        <v>0</v>
      </c>
      <c r="AK303">
        <v>32</v>
      </c>
      <c r="AL303" t="s">
        <v>4332</v>
      </c>
      <c r="AM303" t="s">
        <v>4333</v>
      </c>
      <c r="AN303" t="s">
        <v>4334</v>
      </c>
      <c r="AO303" t="s">
        <v>4335</v>
      </c>
      <c r="AP303" t="s">
        <v>74</v>
      </c>
      <c r="AQ303" t="s">
        <v>74</v>
      </c>
      <c r="AR303" t="s">
        <v>4336</v>
      </c>
      <c r="AS303" t="s">
        <v>4337</v>
      </c>
      <c r="AT303" t="s">
        <v>3946</v>
      </c>
      <c r="AU303">
        <v>1998</v>
      </c>
      <c r="AV303">
        <v>22</v>
      </c>
      <c r="AW303">
        <v>2</v>
      </c>
      <c r="AX303" t="s">
        <v>74</v>
      </c>
      <c r="AY303" t="s">
        <v>74</v>
      </c>
      <c r="AZ303" t="s">
        <v>74</v>
      </c>
      <c r="BA303" t="s">
        <v>74</v>
      </c>
      <c r="BB303">
        <v>181</v>
      </c>
      <c r="BC303">
        <v>186</v>
      </c>
      <c r="BD303" t="s">
        <v>74</v>
      </c>
      <c r="BE303" t="s">
        <v>4338</v>
      </c>
      <c r="BF303" t="str">
        <f>HYPERLINK("http://dx.doi.org/10.1111/j.1751-908X.1998.tb00690.x","http://dx.doi.org/10.1111/j.1751-908X.1998.tb00690.x")</f>
        <v>http://dx.doi.org/10.1111/j.1751-908X.1998.tb00690.x</v>
      </c>
      <c r="BG303" t="s">
        <v>74</v>
      </c>
      <c r="BH303" t="s">
        <v>74</v>
      </c>
      <c r="BI303">
        <v>6</v>
      </c>
      <c r="BJ303" t="s">
        <v>192</v>
      </c>
      <c r="BK303" t="s">
        <v>95</v>
      </c>
      <c r="BL303" t="s">
        <v>193</v>
      </c>
      <c r="BM303" t="s">
        <v>4339</v>
      </c>
      <c r="BN303" t="s">
        <v>74</v>
      </c>
      <c r="BO303" t="s">
        <v>74</v>
      </c>
      <c r="BP303" t="s">
        <v>74</v>
      </c>
      <c r="BQ303" t="s">
        <v>74</v>
      </c>
      <c r="BR303" t="s">
        <v>98</v>
      </c>
      <c r="BS303" t="s">
        <v>4340</v>
      </c>
      <c r="BT303" t="str">
        <f>HYPERLINK("https%3A%2F%2Fwww.webofscience.com%2Fwos%2Fwoscc%2Ffull-record%2FWOS:000078289200002","View Full Record in Web of Science")</f>
        <v>View Full Record in Web of Science</v>
      </c>
    </row>
    <row r="304" spans="1:72" x14ac:dyDescent="0.15">
      <c r="A304" t="s">
        <v>72</v>
      </c>
      <c r="B304" t="s">
        <v>4341</v>
      </c>
      <c r="C304" t="s">
        <v>74</v>
      </c>
      <c r="D304" t="s">
        <v>74</v>
      </c>
      <c r="E304" t="s">
        <v>74</v>
      </c>
      <c r="F304" t="s">
        <v>4341</v>
      </c>
      <c r="G304" t="s">
        <v>74</v>
      </c>
      <c r="H304" t="s">
        <v>74</v>
      </c>
      <c r="I304" t="s">
        <v>4342</v>
      </c>
      <c r="J304" t="s">
        <v>4343</v>
      </c>
      <c r="K304" t="s">
        <v>74</v>
      </c>
      <c r="L304" t="s">
        <v>74</v>
      </c>
      <c r="M304" t="s">
        <v>77</v>
      </c>
      <c r="N304" t="s">
        <v>3384</v>
      </c>
      <c r="O304" t="s">
        <v>74</v>
      </c>
      <c r="P304" t="s">
        <v>74</v>
      </c>
      <c r="Q304" t="s">
        <v>74</v>
      </c>
      <c r="R304" t="s">
        <v>74</v>
      </c>
      <c r="S304" t="s">
        <v>74</v>
      </c>
      <c r="T304" t="s">
        <v>74</v>
      </c>
      <c r="U304" t="s">
        <v>74</v>
      </c>
      <c r="V304" t="s">
        <v>74</v>
      </c>
      <c r="W304" t="s">
        <v>74</v>
      </c>
      <c r="X304" t="s">
        <v>74</v>
      </c>
      <c r="Y304" t="s">
        <v>74</v>
      </c>
      <c r="Z304" t="s">
        <v>74</v>
      </c>
      <c r="AA304" t="s">
        <v>74</v>
      </c>
      <c r="AB304" t="s">
        <v>74</v>
      </c>
      <c r="AC304" t="s">
        <v>74</v>
      </c>
      <c r="AD304" t="s">
        <v>74</v>
      </c>
      <c r="AE304" t="s">
        <v>74</v>
      </c>
      <c r="AF304" t="s">
        <v>74</v>
      </c>
      <c r="AG304">
        <v>1</v>
      </c>
      <c r="AH304">
        <v>0</v>
      </c>
      <c r="AI304">
        <v>0</v>
      </c>
      <c r="AJ304">
        <v>0</v>
      </c>
      <c r="AK304">
        <v>0</v>
      </c>
      <c r="AL304" t="s">
        <v>4344</v>
      </c>
      <c r="AM304" t="s">
        <v>395</v>
      </c>
      <c r="AN304" t="s">
        <v>4345</v>
      </c>
      <c r="AO304" t="s">
        <v>4346</v>
      </c>
      <c r="AP304" t="s">
        <v>74</v>
      </c>
      <c r="AQ304" t="s">
        <v>74</v>
      </c>
      <c r="AR304" t="s">
        <v>4347</v>
      </c>
      <c r="AS304" t="s">
        <v>4348</v>
      </c>
      <c r="AT304" t="s">
        <v>4349</v>
      </c>
      <c r="AU304">
        <v>1998</v>
      </c>
      <c r="AV304">
        <v>39</v>
      </c>
      <c r="AW304">
        <v>1</v>
      </c>
      <c r="AX304" t="s">
        <v>74</v>
      </c>
      <c r="AY304" t="s">
        <v>74</v>
      </c>
      <c r="AZ304" t="s">
        <v>74</v>
      </c>
      <c r="BA304" t="s">
        <v>74</v>
      </c>
      <c r="BB304">
        <v>305</v>
      </c>
      <c r="BC304">
        <v>306</v>
      </c>
      <c r="BD304" t="s">
        <v>74</v>
      </c>
      <c r="BE304" t="s">
        <v>74</v>
      </c>
      <c r="BF304" t="s">
        <v>74</v>
      </c>
      <c r="BG304" t="s">
        <v>74</v>
      </c>
      <c r="BH304" t="s">
        <v>74</v>
      </c>
      <c r="BI304">
        <v>2</v>
      </c>
      <c r="BJ304" t="s">
        <v>4350</v>
      </c>
      <c r="BK304" t="s">
        <v>3394</v>
      </c>
      <c r="BL304" t="s">
        <v>4351</v>
      </c>
      <c r="BM304" t="s">
        <v>4352</v>
      </c>
      <c r="BN304" t="s">
        <v>74</v>
      </c>
      <c r="BO304" t="s">
        <v>74</v>
      </c>
      <c r="BP304" t="s">
        <v>74</v>
      </c>
      <c r="BQ304" t="s">
        <v>74</v>
      </c>
      <c r="BR304" t="s">
        <v>98</v>
      </c>
      <c r="BS304" t="s">
        <v>4353</v>
      </c>
      <c r="BT304" t="str">
        <f>HYPERLINK("https%3A%2F%2Fwww.webofscience.com%2Fwos%2Fwoscc%2Ffull-record%2FWOS:000072281100007","View Full Record in Web of Science")</f>
        <v>View Full Record in Web of Science</v>
      </c>
    </row>
    <row r="305" spans="1:72" x14ac:dyDescent="0.15">
      <c r="A305" t="s">
        <v>72</v>
      </c>
      <c r="B305" t="s">
        <v>4354</v>
      </c>
      <c r="C305" t="s">
        <v>74</v>
      </c>
      <c r="D305" t="s">
        <v>74</v>
      </c>
      <c r="E305" t="s">
        <v>74</v>
      </c>
      <c r="F305" t="s">
        <v>4354</v>
      </c>
      <c r="G305" t="s">
        <v>74</v>
      </c>
      <c r="H305" t="s">
        <v>74</v>
      </c>
      <c r="I305" t="s">
        <v>4355</v>
      </c>
      <c r="J305" t="s">
        <v>4356</v>
      </c>
      <c r="K305" t="s">
        <v>74</v>
      </c>
      <c r="L305" t="s">
        <v>74</v>
      </c>
      <c r="M305" t="s">
        <v>77</v>
      </c>
      <c r="N305" t="s">
        <v>103</v>
      </c>
      <c r="O305" t="s">
        <v>74</v>
      </c>
      <c r="P305" t="s">
        <v>74</v>
      </c>
      <c r="Q305" t="s">
        <v>74</v>
      </c>
      <c r="R305" t="s">
        <v>74</v>
      </c>
      <c r="S305" t="s">
        <v>74</v>
      </c>
      <c r="T305" t="s">
        <v>74</v>
      </c>
      <c r="U305" t="s">
        <v>74</v>
      </c>
      <c r="V305" t="s">
        <v>4357</v>
      </c>
      <c r="W305" t="s">
        <v>4358</v>
      </c>
      <c r="X305" t="s">
        <v>4359</v>
      </c>
      <c r="Y305" t="s">
        <v>4360</v>
      </c>
      <c r="Z305" t="s">
        <v>74</v>
      </c>
      <c r="AA305" t="s">
        <v>74</v>
      </c>
      <c r="AB305" t="s">
        <v>74</v>
      </c>
      <c r="AC305" t="s">
        <v>74</v>
      </c>
      <c r="AD305" t="s">
        <v>74</v>
      </c>
      <c r="AE305" t="s">
        <v>74</v>
      </c>
      <c r="AF305" t="s">
        <v>74</v>
      </c>
      <c r="AG305">
        <v>12</v>
      </c>
      <c r="AH305">
        <v>1</v>
      </c>
      <c r="AI305">
        <v>1</v>
      </c>
      <c r="AJ305">
        <v>0</v>
      </c>
      <c r="AK305">
        <v>0</v>
      </c>
      <c r="AL305" t="s">
        <v>4361</v>
      </c>
      <c r="AM305" t="s">
        <v>4362</v>
      </c>
      <c r="AN305" t="s">
        <v>4363</v>
      </c>
      <c r="AO305" t="s">
        <v>4364</v>
      </c>
      <c r="AP305" t="s">
        <v>74</v>
      </c>
      <c r="AQ305" t="s">
        <v>74</v>
      </c>
      <c r="AR305" t="s">
        <v>4365</v>
      </c>
      <c r="AS305" t="s">
        <v>4366</v>
      </c>
      <c r="AT305" t="s">
        <v>4349</v>
      </c>
      <c r="AU305">
        <v>1998</v>
      </c>
      <c r="AV305">
        <v>47</v>
      </c>
      <c r="AW305">
        <v>4</v>
      </c>
      <c r="AX305" t="s">
        <v>74</v>
      </c>
      <c r="AY305" t="s">
        <v>74</v>
      </c>
      <c r="AZ305" t="s">
        <v>74</v>
      </c>
      <c r="BA305" t="s">
        <v>74</v>
      </c>
      <c r="BB305">
        <v>1497</v>
      </c>
      <c r="BC305">
        <v>1509</v>
      </c>
      <c r="BD305" t="s">
        <v>74</v>
      </c>
      <c r="BE305" t="s">
        <v>74</v>
      </c>
      <c r="BF305" t="s">
        <v>74</v>
      </c>
      <c r="BG305" t="s">
        <v>74</v>
      </c>
      <c r="BH305" t="s">
        <v>74</v>
      </c>
      <c r="BI305">
        <v>13</v>
      </c>
      <c r="BJ305" t="s">
        <v>4367</v>
      </c>
      <c r="BK305" t="s">
        <v>95</v>
      </c>
      <c r="BL305" t="s">
        <v>4367</v>
      </c>
      <c r="BM305" t="s">
        <v>4368</v>
      </c>
      <c r="BN305" t="s">
        <v>74</v>
      </c>
      <c r="BO305" t="s">
        <v>74</v>
      </c>
      <c r="BP305" t="s">
        <v>74</v>
      </c>
      <c r="BQ305" t="s">
        <v>74</v>
      </c>
      <c r="BR305" t="s">
        <v>98</v>
      </c>
      <c r="BS305" t="s">
        <v>4369</v>
      </c>
      <c r="BT305" t="str">
        <f>HYPERLINK("https%3A%2F%2Fwww.webofscience.com%2Fwos%2Fwoscc%2Ffull-record%2FWOS:000080328700011","View Full Record in Web of Science")</f>
        <v>View Full Record in Web of Science</v>
      </c>
    </row>
    <row r="306" spans="1:72" x14ac:dyDescent="0.15">
      <c r="A306" t="s">
        <v>72</v>
      </c>
      <c r="B306" t="s">
        <v>4370</v>
      </c>
      <c r="C306" t="s">
        <v>74</v>
      </c>
      <c r="D306" t="s">
        <v>74</v>
      </c>
      <c r="E306" t="s">
        <v>74</v>
      </c>
      <c r="F306" t="s">
        <v>4370</v>
      </c>
      <c r="G306" t="s">
        <v>74</v>
      </c>
      <c r="H306" t="s">
        <v>74</v>
      </c>
      <c r="I306" t="s">
        <v>4371</v>
      </c>
      <c r="J306" t="s">
        <v>1450</v>
      </c>
      <c r="K306" t="s">
        <v>74</v>
      </c>
      <c r="L306" t="s">
        <v>74</v>
      </c>
      <c r="M306" t="s">
        <v>77</v>
      </c>
      <c r="N306" t="s">
        <v>103</v>
      </c>
      <c r="O306" t="s">
        <v>74</v>
      </c>
      <c r="P306" t="s">
        <v>74</v>
      </c>
      <c r="Q306" t="s">
        <v>74</v>
      </c>
      <c r="R306" t="s">
        <v>74</v>
      </c>
      <c r="S306" t="s">
        <v>74</v>
      </c>
      <c r="T306" t="s">
        <v>74</v>
      </c>
      <c r="U306" t="s">
        <v>4372</v>
      </c>
      <c r="V306" t="s">
        <v>4373</v>
      </c>
      <c r="W306" t="s">
        <v>4374</v>
      </c>
      <c r="X306" t="s">
        <v>4375</v>
      </c>
      <c r="Y306" t="s">
        <v>4376</v>
      </c>
      <c r="Z306" t="s">
        <v>4377</v>
      </c>
      <c r="AA306" t="s">
        <v>74</v>
      </c>
      <c r="AB306" t="s">
        <v>74</v>
      </c>
      <c r="AC306" t="s">
        <v>74</v>
      </c>
      <c r="AD306" t="s">
        <v>74</v>
      </c>
      <c r="AE306" t="s">
        <v>74</v>
      </c>
      <c r="AF306" t="s">
        <v>74</v>
      </c>
      <c r="AG306">
        <v>18</v>
      </c>
      <c r="AH306">
        <v>18</v>
      </c>
      <c r="AI306">
        <v>18</v>
      </c>
      <c r="AJ306">
        <v>0</v>
      </c>
      <c r="AK306">
        <v>0</v>
      </c>
      <c r="AL306" t="s">
        <v>966</v>
      </c>
      <c r="AM306" t="s">
        <v>967</v>
      </c>
      <c r="AN306" t="s">
        <v>968</v>
      </c>
      <c r="AO306" t="s">
        <v>1458</v>
      </c>
      <c r="AP306" t="s">
        <v>1459</v>
      </c>
      <c r="AQ306" t="s">
        <v>74</v>
      </c>
      <c r="AR306" t="s">
        <v>1460</v>
      </c>
      <c r="AS306" t="s">
        <v>1461</v>
      </c>
      <c r="AT306" t="s">
        <v>4147</v>
      </c>
      <c r="AU306">
        <v>1998</v>
      </c>
      <c r="AV306">
        <v>103</v>
      </c>
      <c r="AW306" t="s">
        <v>4378</v>
      </c>
      <c r="AX306" t="s">
        <v>74</v>
      </c>
      <c r="AY306" t="s">
        <v>74</v>
      </c>
      <c r="AZ306" t="s">
        <v>74</v>
      </c>
      <c r="BA306" t="s">
        <v>74</v>
      </c>
      <c r="BB306">
        <v>29455</v>
      </c>
      <c r="BC306">
        <v>29465</v>
      </c>
      <c r="BD306" t="s">
        <v>74</v>
      </c>
      <c r="BE306" t="s">
        <v>4379</v>
      </c>
      <c r="BF306" t="str">
        <f>HYPERLINK("http://dx.doi.org/10.1029/1998JA900035","http://dx.doi.org/10.1029/1998JA900035")</f>
        <v>http://dx.doi.org/10.1029/1998JA900035</v>
      </c>
      <c r="BG306" t="s">
        <v>74</v>
      </c>
      <c r="BH306" t="s">
        <v>74</v>
      </c>
      <c r="BI306">
        <v>11</v>
      </c>
      <c r="BJ306" t="s">
        <v>1464</v>
      </c>
      <c r="BK306" t="s">
        <v>95</v>
      </c>
      <c r="BL306" t="s">
        <v>1464</v>
      </c>
      <c r="BM306" t="s">
        <v>4380</v>
      </c>
      <c r="BN306" t="s">
        <v>74</v>
      </c>
      <c r="BO306" t="s">
        <v>1089</v>
      </c>
      <c r="BP306" t="s">
        <v>74</v>
      </c>
      <c r="BQ306" t="s">
        <v>74</v>
      </c>
      <c r="BR306" t="s">
        <v>98</v>
      </c>
      <c r="BS306" t="s">
        <v>4381</v>
      </c>
      <c r="BT306" t="str">
        <f>HYPERLINK("https%3A%2F%2Fwww.webofscience.com%2Fwos%2Fwoscc%2Ffull-record%2FWOS:000077608400027","View Full Record in Web of Science")</f>
        <v>View Full Record in Web of Science</v>
      </c>
    </row>
    <row r="307" spans="1:72" x14ac:dyDescent="0.15">
      <c r="A307" t="s">
        <v>72</v>
      </c>
      <c r="B307" t="s">
        <v>4382</v>
      </c>
      <c r="C307" t="s">
        <v>74</v>
      </c>
      <c r="D307" t="s">
        <v>74</v>
      </c>
      <c r="E307" t="s">
        <v>74</v>
      </c>
      <c r="F307" t="s">
        <v>4382</v>
      </c>
      <c r="G307" t="s">
        <v>74</v>
      </c>
      <c r="H307" t="s">
        <v>74</v>
      </c>
      <c r="I307" t="s">
        <v>4383</v>
      </c>
      <c r="J307" t="s">
        <v>1634</v>
      </c>
      <c r="K307" t="s">
        <v>74</v>
      </c>
      <c r="L307" t="s">
        <v>74</v>
      </c>
      <c r="M307" t="s">
        <v>77</v>
      </c>
      <c r="N307" t="s">
        <v>78</v>
      </c>
      <c r="O307" t="s">
        <v>74</v>
      </c>
      <c r="P307" t="s">
        <v>74</v>
      </c>
      <c r="Q307" t="s">
        <v>74</v>
      </c>
      <c r="R307" t="s">
        <v>74</v>
      </c>
      <c r="S307" t="s">
        <v>74</v>
      </c>
      <c r="T307" t="s">
        <v>4384</v>
      </c>
      <c r="U307" t="s">
        <v>4385</v>
      </c>
      <c r="V307" t="s">
        <v>4386</v>
      </c>
      <c r="W307" t="s">
        <v>4387</v>
      </c>
      <c r="X307" t="s">
        <v>2278</v>
      </c>
      <c r="Y307" t="s">
        <v>4388</v>
      </c>
      <c r="Z307" t="s">
        <v>4389</v>
      </c>
      <c r="AA307" t="s">
        <v>4390</v>
      </c>
      <c r="AB307" t="s">
        <v>4391</v>
      </c>
      <c r="AC307" t="s">
        <v>74</v>
      </c>
      <c r="AD307" t="s">
        <v>74</v>
      </c>
      <c r="AE307" t="s">
        <v>74</v>
      </c>
      <c r="AF307" t="s">
        <v>74</v>
      </c>
      <c r="AG307">
        <v>124</v>
      </c>
      <c r="AH307">
        <v>203</v>
      </c>
      <c r="AI307">
        <v>233</v>
      </c>
      <c r="AJ307">
        <v>2</v>
      </c>
      <c r="AK307">
        <v>64</v>
      </c>
      <c r="AL307" t="s">
        <v>1643</v>
      </c>
      <c r="AM307" t="s">
        <v>1644</v>
      </c>
      <c r="AN307" t="s">
        <v>1645</v>
      </c>
      <c r="AO307" t="s">
        <v>1646</v>
      </c>
      <c r="AP307" t="s">
        <v>74</v>
      </c>
      <c r="AQ307" t="s">
        <v>74</v>
      </c>
      <c r="AR307" t="s">
        <v>1647</v>
      </c>
      <c r="AS307" t="s">
        <v>1648</v>
      </c>
      <c r="AT307" t="s">
        <v>3946</v>
      </c>
      <c r="AU307">
        <v>1998</v>
      </c>
      <c r="AV307">
        <v>47</v>
      </c>
      <c r="AW307" t="s">
        <v>1086</v>
      </c>
      <c r="AX307" t="s">
        <v>74</v>
      </c>
      <c r="AY307" t="s">
        <v>74</v>
      </c>
      <c r="AZ307" t="s">
        <v>74</v>
      </c>
      <c r="BA307" t="s">
        <v>74</v>
      </c>
      <c r="BB307">
        <v>83</v>
      </c>
      <c r="BC307">
        <v>94</v>
      </c>
      <c r="BD307" t="s">
        <v>74</v>
      </c>
      <c r="BE307" t="s">
        <v>4392</v>
      </c>
      <c r="BF307" t="str">
        <f>HYPERLINK("http://dx.doi.org/10.1016/S1011-1344(98)00198-5","http://dx.doi.org/10.1016/S1011-1344(98)00198-5")</f>
        <v>http://dx.doi.org/10.1016/S1011-1344(98)00198-5</v>
      </c>
      <c r="BG307" t="s">
        <v>74</v>
      </c>
      <c r="BH307" t="s">
        <v>74</v>
      </c>
      <c r="BI307">
        <v>12</v>
      </c>
      <c r="BJ307" t="s">
        <v>1650</v>
      </c>
      <c r="BK307" t="s">
        <v>95</v>
      </c>
      <c r="BL307" t="s">
        <v>1650</v>
      </c>
      <c r="BM307" t="s">
        <v>4393</v>
      </c>
      <c r="BN307" t="s">
        <v>74</v>
      </c>
      <c r="BO307" t="s">
        <v>74</v>
      </c>
      <c r="BP307" t="s">
        <v>74</v>
      </c>
      <c r="BQ307" t="s">
        <v>74</v>
      </c>
      <c r="BR307" t="s">
        <v>98</v>
      </c>
      <c r="BS307" t="s">
        <v>4394</v>
      </c>
      <c r="BT307" t="str">
        <f>HYPERLINK("https%3A%2F%2Fwww.webofscience.com%2Fwos%2Fwoscc%2Ffull-record%2FWOS:000079082700002","View Full Record in Web of Science")</f>
        <v>View Full Record in Web of Science</v>
      </c>
    </row>
    <row r="308" spans="1:72" x14ac:dyDescent="0.15">
      <c r="A308" t="s">
        <v>72</v>
      </c>
      <c r="B308" t="s">
        <v>4395</v>
      </c>
      <c r="C308" t="s">
        <v>74</v>
      </c>
      <c r="D308" t="s">
        <v>74</v>
      </c>
      <c r="E308" t="s">
        <v>74</v>
      </c>
      <c r="F308" t="s">
        <v>4395</v>
      </c>
      <c r="G308" t="s">
        <v>74</v>
      </c>
      <c r="H308" t="s">
        <v>74</v>
      </c>
      <c r="I308" t="s">
        <v>4396</v>
      </c>
      <c r="J308" t="s">
        <v>4397</v>
      </c>
      <c r="K308" t="s">
        <v>74</v>
      </c>
      <c r="L308" t="s">
        <v>74</v>
      </c>
      <c r="M308" t="s">
        <v>77</v>
      </c>
      <c r="N308" t="s">
        <v>103</v>
      </c>
      <c r="O308" t="s">
        <v>74</v>
      </c>
      <c r="P308" t="s">
        <v>74</v>
      </c>
      <c r="Q308" t="s">
        <v>74</v>
      </c>
      <c r="R308" t="s">
        <v>74</v>
      </c>
      <c r="S308" t="s">
        <v>74</v>
      </c>
      <c r="T308" t="s">
        <v>4398</v>
      </c>
      <c r="U308" t="s">
        <v>4399</v>
      </c>
      <c r="V308" t="s">
        <v>4400</v>
      </c>
      <c r="W308" t="s">
        <v>4401</v>
      </c>
      <c r="X308" t="s">
        <v>4402</v>
      </c>
      <c r="Y308" t="s">
        <v>4403</v>
      </c>
      <c r="Z308" t="s">
        <v>74</v>
      </c>
      <c r="AA308" t="s">
        <v>4404</v>
      </c>
      <c r="AB308" t="s">
        <v>4405</v>
      </c>
      <c r="AC308" t="s">
        <v>74</v>
      </c>
      <c r="AD308" t="s">
        <v>74</v>
      </c>
      <c r="AE308" t="s">
        <v>74</v>
      </c>
      <c r="AF308" t="s">
        <v>74</v>
      </c>
      <c r="AG308">
        <v>67</v>
      </c>
      <c r="AH308">
        <v>194</v>
      </c>
      <c r="AI308">
        <v>208</v>
      </c>
      <c r="AJ308">
        <v>0</v>
      </c>
      <c r="AK308">
        <v>19</v>
      </c>
      <c r="AL308" t="s">
        <v>4406</v>
      </c>
      <c r="AM308" t="s">
        <v>4407</v>
      </c>
      <c r="AN308" t="s">
        <v>4408</v>
      </c>
      <c r="AO308" t="s">
        <v>4409</v>
      </c>
      <c r="AP308" t="s">
        <v>74</v>
      </c>
      <c r="AQ308" t="s">
        <v>74</v>
      </c>
      <c r="AR308" t="s">
        <v>4410</v>
      </c>
      <c r="AS308" t="s">
        <v>4411</v>
      </c>
      <c r="AT308" t="s">
        <v>3946</v>
      </c>
      <c r="AU308">
        <v>1998</v>
      </c>
      <c r="AV308">
        <v>34</v>
      </c>
      <c r="AW308">
        <v>6</v>
      </c>
      <c r="AX308" t="s">
        <v>74</v>
      </c>
      <c r="AY308" t="s">
        <v>74</v>
      </c>
      <c r="AZ308" t="s">
        <v>74</v>
      </c>
      <c r="BA308" t="s">
        <v>74</v>
      </c>
      <c r="BB308">
        <v>928</v>
      </c>
      <c r="BC308">
        <v>938</v>
      </c>
      <c r="BD308" t="s">
        <v>74</v>
      </c>
      <c r="BE308" t="s">
        <v>4412</v>
      </c>
      <c r="BF308" t="str">
        <f>HYPERLINK("http://dx.doi.org/10.1046/j.1529-8817.1998.340928.x","http://dx.doi.org/10.1046/j.1529-8817.1998.340928.x")</f>
        <v>http://dx.doi.org/10.1046/j.1529-8817.1998.340928.x</v>
      </c>
      <c r="BG308" t="s">
        <v>74</v>
      </c>
      <c r="BH308" t="s">
        <v>74</v>
      </c>
      <c r="BI308">
        <v>11</v>
      </c>
      <c r="BJ308" t="s">
        <v>4413</v>
      </c>
      <c r="BK308" t="s">
        <v>95</v>
      </c>
      <c r="BL308" t="s">
        <v>4413</v>
      </c>
      <c r="BM308" t="s">
        <v>4414</v>
      </c>
      <c r="BN308" t="s">
        <v>74</v>
      </c>
      <c r="BO308" t="s">
        <v>74</v>
      </c>
      <c r="BP308" t="s">
        <v>74</v>
      </c>
      <c r="BQ308" t="s">
        <v>74</v>
      </c>
      <c r="BR308" t="s">
        <v>98</v>
      </c>
      <c r="BS308" t="s">
        <v>4415</v>
      </c>
      <c r="BT308" t="str">
        <f>HYPERLINK("https%3A%2F%2Fwww.webofscience.com%2Fwos%2Fwoscc%2Ffull-record%2FWOS:000077966100004","View Full Record in Web of Science")</f>
        <v>View Full Record in Web of Science</v>
      </c>
    </row>
    <row r="309" spans="1:72" x14ac:dyDescent="0.15">
      <c r="A309" t="s">
        <v>72</v>
      </c>
      <c r="B309" t="s">
        <v>4416</v>
      </c>
      <c r="C309" t="s">
        <v>74</v>
      </c>
      <c r="D309" t="s">
        <v>74</v>
      </c>
      <c r="E309" t="s">
        <v>74</v>
      </c>
      <c r="F309" t="s">
        <v>4416</v>
      </c>
      <c r="G309" t="s">
        <v>74</v>
      </c>
      <c r="H309" t="s">
        <v>74</v>
      </c>
      <c r="I309" t="s">
        <v>4417</v>
      </c>
      <c r="J309" t="s">
        <v>4418</v>
      </c>
      <c r="K309" t="s">
        <v>74</v>
      </c>
      <c r="L309" t="s">
        <v>74</v>
      </c>
      <c r="M309" t="s">
        <v>77</v>
      </c>
      <c r="N309" t="s">
        <v>103</v>
      </c>
      <c r="O309" t="s">
        <v>74</v>
      </c>
      <c r="P309" t="s">
        <v>74</v>
      </c>
      <c r="Q309" t="s">
        <v>74</v>
      </c>
      <c r="R309" t="s">
        <v>74</v>
      </c>
      <c r="S309" t="s">
        <v>74</v>
      </c>
      <c r="T309" t="s">
        <v>74</v>
      </c>
      <c r="U309" t="s">
        <v>4419</v>
      </c>
      <c r="V309" t="s">
        <v>4420</v>
      </c>
      <c r="W309" t="s">
        <v>3313</v>
      </c>
      <c r="X309" t="s">
        <v>1500</v>
      </c>
      <c r="Y309" t="s">
        <v>4421</v>
      </c>
      <c r="Z309" t="s">
        <v>4422</v>
      </c>
      <c r="AA309" t="s">
        <v>74</v>
      </c>
      <c r="AB309" t="s">
        <v>74</v>
      </c>
      <c r="AC309" t="s">
        <v>74</v>
      </c>
      <c r="AD309" t="s">
        <v>74</v>
      </c>
      <c r="AE309" t="s">
        <v>74</v>
      </c>
      <c r="AF309" t="s">
        <v>74</v>
      </c>
      <c r="AG309">
        <v>16</v>
      </c>
      <c r="AH309">
        <v>53</v>
      </c>
      <c r="AI309">
        <v>58</v>
      </c>
      <c r="AJ309">
        <v>0</v>
      </c>
      <c r="AK309">
        <v>4</v>
      </c>
      <c r="AL309" t="s">
        <v>1344</v>
      </c>
      <c r="AM309" t="s">
        <v>1345</v>
      </c>
      <c r="AN309" t="s">
        <v>1346</v>
      </c>
      <c r="AO309" t="s">
        <v>4423</v>
      </c>
      <c r="AP309" t="s">
        <v>74</v>
      </c>
      <c r="AQ309" t="s">
        <v>74</v>
      </c>
      <c r="AR309" t="s">
        <v>4424</v>
      </c>
      <c r="AS309" t="s">
        <v>4425</v>
      </c>
      <c r="AT309" t="s">
        <v>3946</v>
      </c>
      <c r="AU309">
        <v>1998</v>
      </c>
      <c r="AV309">
        <v>28</v>
      </c>
      <c r="AW309">
        <v>12</v>
      </c>
      <c r="AX309" t="s">
        <v>74</v>
      </c>
      <c r="AY309" t="s">
        <v>74</v>
      </c>
      <c r="AZ309" t="s">
        <v>74</v>
      </c>
      <c r="BA309" t="s">
        <v>74</v>
      </c>
      <c r="BB309">
        <v>2345</v>
      </c>
      <c r="BC309">
        <v>2361</v>
      </c>
      <c r="BD309" t="s">
        <v>74</v>
      </c>
      <c r="BE309" t="s">
        <v>4426</v>
      </c>
      <c r="BF309" t="str">
        <f>HYPERLINK("http://dx.doi.org/10.1175/1520-0485(1998)028&lt;2345:TACWAB&gt;2.0.CO;2","http://dx.doi.org/10.1175/1520-0485(1998)028&lt;2345:TACWAB&gt;2.0.CO;2")</f>
        <v>http://dx.doi.org/10.1175/1520-0485(1998)028&lt;2345:TACWAB&gt;2.0.CO;2</v>
      </c>
      <c r="BG309" t="s">
        <v>74</v>
      </c>
      <c r="BH309" t="s">
        <v>74</v>
      </c>
      <c r="BI309">
        <v>17</v>
      </c>
      <c r="BJ309" t="s">
        <v>451</v>
      </c>
      <c r="BK309" t="s">
        <v>95</v>
      </c>
      <c r="BL309" t="s">
        <v>451</v>
      </c>
      <c r="BM309" t="s">
        <v>4427</v>
      </c>
      <c r="BN309" t="s">
        <v>74</v>
      </c>
      <c r="BO309" t="s">
        <v>1089</v>
      </c>
      <c r="BP309" t="s">
        <v>74</v>
      </c>
      <c r="BQ309" t="s">
        <v>74</v>
      </c>
      <c r="BR309" t="s">
        <v>98</v>
      </c>
      <c r="BS309" t="s">
        <v>4428</v>
      </c>
      <c r="BT309" t="str">
        <f>HYPERLINK("https%3A%2F%2Fwww.webofscience.com%2Fwos%2Fwoscc%2Ffull-record%2FWOS:000077499400001","View Full Record in Web of Science")</f>
        <v>View Full Record in Web of Science</v>
      </c>
    </row>
    <row r="310" spans="1:72" x14ac:dyDescent="0.15">
      <c r="A310" t="s">
        <v>72</v>
      </c>
      <c r="B310" t="s">
        <v>4429</v>
      </c>
      <c r="C310" t="s">
        <v>74</v>
      </c>
      <c r="D310" t="s">
        <v>74</v>
      </c>
      <c r="E310" t="s">
        <v>74</v>
      </c>
      <c r="F310" t="s">
        <v>4429</v>
      </c>
      <c r="G310" t="s">
        <v>74</v>
      </c>
      <c r="H310" t="s">
        <v>74</v>
      </c>
      <c r="I310" t="s">
        <v>4430</v>
      </c>
      <c r="J310" t="s">
        <v>4431</v>
      </c>
      <c r="K310" t="s">
        <v>74</v>
      </c>
      <c r="L310" t="s">
        <v>74</v>
      </c>
      <c r="M310" t="s">
        <v>77</v>
      </c>
      <c r="N310" t="s">
        <v>103</v>
      </c>
      <c r="O310" t="s">
        <v>74</v>
      </c>
      <c r="P310" t="s">
        <v>74</v>
      </c>
      <c r="Q310" t="s">
        <v>74</v>
      </c>
      <c r="R310" t="s">
        <v>74</v>
      </c>
      <c r="S310" t="s">
        <v>74</v>
      </c>
      <c r="T310" t="s">
        <v>74</v>
      </c>
      <c r="U310" t="s">
        <v>4432</v>
      </c>
      <c r="V310" t="s">
        <v>4433</v>
      </c>
      <c r="W310" t="s">
        <v>4434</v>
      </c>
      <c r="X310" t="s">
        <v>4435</v>
      </c>
      <c r="Y310" t="s">
        <v>4436</v>
      </c>
      <c r="Z310" t="s">
        <v>74</v>
      </c>
      <c r="AA310" t="s">
        <v>4437</v>
      </c>
      <c r="AB310" t="s">
        <v>4438</v>
      </c>
      <c r="AC310" t="s">
        <v>74</v>
      </c>
      <c r="AD310" t="s">
        <v>74</v>
      </c>
      <c r="AE310" t="s">
        <v>74</v>
      </c>
      <c r="AF310" t="s">
        <v>74</v>
      </c>
      <c r="AG310">
        <v>40</v>
      </c>
      <c r="AH310">
        <v>5</v>
      </c>
      <c r="AI310">
        <v>5</v>
      </c>
      <c r="AJ310">
        <v>0</v>
      </c>
      <c r="AK310">
        <v>6</v>
      </c>
      <c r="AL310" t="s">
        <v>4439</v>
      </c>
      <c r="AM310" t="s">
        <v>229</v>
      </c>
      <c r="AN310" t="s">
        <v>4440</v>
      </c>
      <c r="AO310" t="s">
        <v>4441</v>
      </c>
      <c r="AP310" t="s">
        <v>74</v>
      </c>
      <c r="AQ310" t="s">
        <v>74</v>
      </c>
      <c r="AR310" t="s">
        <v>4442</v>
      </c>
      <c r="AS310" t="s">
        <v>4443</v>
      </c>
      <c r="AT310" t="s">
        <v>3946</v>
      </c>
      <c r="AU310">
        <v>1998</v>
      </c>
      <c r="AV310">
        <v>20</v>
      </c>
      <c r="AW310">
        <v>12</v>
      </c>
      <c r="AX310" t="s">
        <v>74</v>
      </c>
      <c r="AY310" t="s">
        <v>74</v>
      </c>
      <c r="AZ310" t="s">
        <v>74</v>
      </c>
      <c r="BA310" t="s">
        <v>74</v>
      </c>
      <c r="BB310">
        <v>2357</v>
      </c>
      <c r="BC310">
        <v>2367</v>
      </c>
      <c r="BD310" t="s">
        <v>74</v>
      </c>
      <c r="BE310" t="s">
        <v>4444</v>
      </c>
      <c r="BF310" t="str">
        <f>HYPERLINK("http://dx.doi.org/10.1093/plankt/20.12.2357","http://dx.doi.org/10.1093/plankt/20.12.2357")</f>
        <v>http://dx.doi.org/10.1093/plankt/20.12.2357</v>
      </c>
      <c r="BG310" t="s">
        <v>74</v>
      </c>
      <c r="BH310" t="s">
        <v>74</v>
      </c>
      <c r="BI310">
        <v>11</v>
      </c>
      <c r="BJ310" t="s">
        <v>1128</v>
      </c>
      <c r="BK310" t="s">
        <v>95</v>
      </c>
      <c r="BL310" t="s">
        <v>1128</v>
      </c>
      <c r="BM310" t="s">
        <v>4445</v>
      </c>
      <c r="BN310" t="s">
        <v>74</v>
      </c>
      <c r="BO310" t="s">
        <v>1089</v>
      </c>
      <c r="BP310" t="s">
        <v>74</v>
      </c>
      <c r="BQ310" t="s">
        <v>74</v>
      </c>
      <c r="BR310" t="s">
        <v>98</v>
      </c>
      <c r="BS310" t="s">
        <v>4446</v>
      </c>
      <c r="BT310" t="str">
        <f>HYPERLINK("https%3A%2F%2Fwww.webofscience.com%2Fwos%2Fwoscc%2Ffull-record%2FWOS:000077627700007","View Full Record in Web of Science")</f>
        <v>View Full Record in Web of Science</v>
      </c>
    </row>
    <row r="311" spans="1:72" x14ac:dyDescent="0.15">
      <c r="A311" t="s">
        <v>72</v>
      </c>
      <c r="B311" t="s">
        <v>4447</v>
      </c>
      <c r="C311" t="s">
        <v>74</v>
      </c>
      <c r="D311" t="s">
        <v>74</v>
      </c>
      <c r="E311" t="s">
        <v>74</v>
      </c>
      <c r="F311" t="s">
        <v>4447</v>
      </c>
      <c r="G311" t="s">
        <v>74</v>
      </c>
      <c r="H311" t="s">
        <v>74</v>
      </c>
      <c r="I311" t="s">
        <v>4448</v>
      </c>
      <c r="J311" t="s">
        <v>4431</v>
      </c>
      <c r="K311" t="s">
        <v>74</v>
      </c>
      <c r="L311" t="s">
        <v>74</v>
      </c>
      <c r="M311" t="s">
        <v>77</v>
      </c>
      <c r="N311" t="s">
        <v>103</v>
      </c>
      <c r="O311" t="s">
        <v>74</v>
      </c>
      <c r="P311" t="s">
        <v>74</v>
      </c>
      <c r="Q311" t="s">
        <v>74</v>
      </c>
      <c r="R311" t="s">
        <v>74</v>
      </c>
      <c r="S311" t="s">
        <v>74</v>
      </c>
      <c r="T311" t="s">
        <v>74</v>
      </c>
      <c r="U311" t="s">
        <v>4449</v>
      </c>
      <c r="V311" t="s">
        <v>4450</v>
      </c>
      <c r="W311" t="s">
        <v>4451</v>
      </c>
      <c r="X311" t="s">
        <v>4452</v>
      </c>
      <c r="Y311" t="s">
        <v>4453</v>
      </c>
      <c r="Z311" t="s">
        <v>74</v>
      </c>
      <c r="AA311" t="s">
        <v>4454</v>
      </c>
      <c r="AB311" t="s">
        <v>4455</v>
      </c>
      <c r="AC311" t="s">
        <v>74</v>
      </c>
      <c r="AD311" t="s">
        <v>74</v>
      </c>
      <c r="AE311" t="s">
        <v>74</v>
      </c>
      <c r="AF311" t="s">
        <v>74</v>
      </c>
      <c r="AG311">
        <v>22</v>
      </c>
      <c r="AH311">
        <v>9</v>
      </c>
      <c r="AI311">
        <v>9</v>
      </c>
      <c r="AJ311">
        <v>0</v>
      </c>
      <c r="AK311">
        <v>4</v>
      </c>
      <c r="AL311" t="s">
        <v>4439</v>
      </c>
      <c r="AM311" t="s">
        <v>229</v>
      </c>
      <c r="AN311" t="s">
        <v>4440</v>
      </c>
      <c r="AO311" t="s">
        <v>4441</v>
      </c>
      <c r="AP311" t="s">
        <v>74</v>
      </c>
      <c r="AQ311" t="s">
        <v>74</v>
      </c>
      <c r="AR311" t="s">
        <v>4442</v>
      </c>
      <c r="AS311" t="s">
        <v>4443</v>
      </c>
      <c r="AT311" t="s">
        <v>3946</v>
      </c>
      <c r="AU311">
        <v>1998</v>
      </c>
      <c r="AV311">
        <v>20</v>
      </c>
      <c r="AW311">
        <v>12</v>
      </c>
      <c r="AX311" t="s">
        <v>74</v>
      </c>
      <c r="AY311" t="s">
        <v>74</v>
      </c>
      <c r="AZ311" t="s">
        <v>74</v>
      </c>
      <c r="BA311" t="s">
        <v>74</v>
      </c>
      <c r="BB311">
        <v>2369</v>
      </c>
      <c r="BC311">
        <v>2378</v>
      </c>
      <c r="BD311" t="s">
        <v>74</v>
      </c>
      <c r="BE311" t="s">
        <v>4456</v>
      </c>
      <c r="BF311" t="str">
        <f>HYPERLINK("http://dx.doi.org/10.1093/plankt/20.12.2369","http://dx.doi.org/10.1093/plankt/20.12.2369")</f>
        <v>http://dx.doi.org/10.1093/plankt/20.12.2369</v>
      </c>
      <c r="BG311" t="s">
        <v>74</v>
      </c>
      <c r="BH311" t="s">
        <v>74</v>
      </c>
      <c r="BI311">
        <v>10</v>
      </c>
      <c r="BJ311" t="s">
        <v>1128</v>
      </c>
      <c r="BK311" t="s">
        <v>95</v>
      </c>
      <c r="BL311" t="s">
        <v>1128</v>
      </c>
      <c r="BM311" t="s">
        <v>4445</v>
      </c>
      <c r="BN311" t="s">
        <v>74</v>
      </c>
      <c r="BO311" t="s">
        <v>1089</v>
      </c>
      <c r="BP311" t="s">
        <v>74</v>
      </c>
      <c r="BQ311" t="s">
        <v>74</v>
      </c>
      <c r="BR311" t="s">
        <v>98</v>
      </c>
      <c r="BS311" t="s">
        <v>4457</v>
      </c>
      <c r="BT311" t="str">
        <f>HYPERLINK("https%3A%2F%2Fwww.webofscience.com%2Fwos%2Fwoscc%2Ffull-record%2FWOS:000077627700008","View Full Record in Web of Science")</f>
        <v>View Full Record in Web of Science</v>
      </c>
    </row>
    <row r="312" spans="1:72" x14ac:dyDescent="0.15">
      <c r="A312" t="s">
        <v>72</v>
      </c>
      <c r="B312" t="s">
        <v>4458</v>
      </c>
      <c r="C312" t="s">
        <v>74</v>
      </c>
      <c r="D312" t="s">
        <v>74</v>
      </c>
      <c r="E312" t="s">
        <v>74</v>
      </c>
      <c r="F312" t="s">
        <v>4458</v>
      </c>
      <c r="G312" t="s">
        <v>74</v>
      </c>
      <c r="H312" t="s">
        <v>74</v>
      </c>
      <c r="I312" t="s">
        <v>4459</v>
      </c>
      <c r="J312" t="s">
        <v>4460</v>
      </c>
      <c r="K312" t="s">
        <v>74</v>
      </c>
      <c r="L312" t="s">
        <v>74</v>
      </c>
      <c r="M312" t="s">
        <v>77</v>
      </c>
      <c r="N312" t="s">
        <v>103</v>
      </c>
      <c r="O312" t="s">
        <v>74</v>
      </c>
      <c r="P312" t="s">
        <v>74</v>
      </c>
      <c r="Q312" t="s">
        <v>74</v>
      </c>
      <c r="R312" t="s">
        <v>74</v>
      </c>
      <c r="S312" t="s">
        <v>74</v>
      </c>
      <c r="T312" t="s">
        <v>74</v>
      </c>
      <c r="U312" t="s">
        <v>74</v>
      </c>
      <c r="V312" t="s">
        <v>74</v>
      </c>
      <c r="W312" t="s">
        <v>4461</v>
      </c>
      <c r="X312" t="s">
        <v>4271</v>
      </c>
      <c r="Y312" t="s">
        <v>4462</v>
      </c>
      <c r="Z312" t="s">
        <v>74</v>
      </c>
      <c r="AA312" t="s">
        <v>74</v>
      </c>
      <c r="AB312" t="s">
        <v>74</v>
      </c>
      <c r="AC312" t="s">
        <v>74</v>
      </c>
      <c r="AD312" t="s">
        <v>74</v>
      </c>
      <c r="AE312" t="s">
        <v>74</v>
      </c>
      <c r="AF312" t="s">
        <v>74</v>
      </c>
      <c r="AG312">
        <v>3</v>
      </c>
      <c r="AH312">
        <v>10</v>
      </c>
      <c r="AI312">
        <v>10</v>
      </c>
      <c r="AJ312">
        <v>0</v>
      </c>
      <c r="AK312">
        <v>12</v>
      </c>
      <c r="AL312" t="s">
        <v>4463</v>
      </c>
      <c r="AM312" t="s">
        <v>4464</v>
      </c>
      <c r="AN312" t="s">
        <v>4465</v>
      </c>
      <c r="AO312" t="s">
        <v>4466</v>
      </c>
      <c r="AP312" t="s">
        <v>74</v>
      </c>
      <c r="AQ312" t="s">
        <v>74</v>
      </c>
      <c r="AR312" t="s">
        <v>4467</v>
      </c>
      <c r="AS312" t="s">
        <v>4468</v>
      </c>
      <c r="AT312" t="s">
        <v>3946</v>
      </c>
      <c r="AU312">
        <v>1998</v>
      </c>
      <c r="AV312">
        <v>5</v>
      </c>
      <c r="AW312">
        <v>4</v>
      </c>
      <c r="AX312" t="s">
        <v>74</v>
      </c>
      <c r="AY312" t="s">
        <v>74</v>
      </c>
      <c r="AZ312" t="s">
        <v>74</v>
      </c>
      <c r="BA312" t="s">
        <v>74</v>
      </c>
      <c r="BB312">
        <v>210</v>
      </c>
      <c r="BC312">
        <v>212</v>
      </c>
      <c r="BD312" t="s">
        <v>74</v>
      </c>
      <c r="BE312" t="s">
        <v>4469</v>
      </c>
      <c r="BF312" t="str">
        <f>HYPERLINK("http://dx.doi.org/10.1111/j.1708-8305.1998.tb00509.x","http://dx.doi.org/10.1111/j.1708-8305.1998.tb00509.x")</f>
        <v>http://dx.doi.org/10.1111/j.1708-8305.1998.tb00509.x</v>
      </c>
      <c r="BG312" t="s">
        <v>74</v>
      </c>
      <c r="BH312" t="s">
        <v>74</v>
      </c>
      <c r="BI312">
        <v>3</v>
      </c>
      <c r="BJ312" t="s">
        <v>4470</v>
      </c>
      <c r="BK312" t="s">
        <v>95</v>
      </c>
      <c r="BL312" t="s">
        <v>4471</v>
      </c>
      <c r="BM312" t="s">
        <v>4472</v>
      </c>
      <c r="BN312">
        <v>9876197</v>
      </c>
      <c r="BO312" t="s">
        <v>1089</v>
      </c>
      <c r="BP312" t="s">
        <v>74</v>
      </c>
      <c r="BQ312" t="s">
        <v>74</v>
      </c>
      <c r="BR312" t="s">
        <v>98</v>
      </c>
      <c r="BS312" t="s">
        <v>4473</v>
      </c>
      <c r="BT312" t="str">
        <f>HYPERLINK("https%3A%2F%2Fwww.webofscience.com%2Fwos%2Fwoscc%2Ffull-record%2FWOS:000083306900009","View Full Record in Web of Science")</f>
        <v>View Full Record in Web of Science</v>
      </c>
    </row>
    <row r="313" spans="1:72" x14ac:dyDescent="0.15">
      <c r="A313" t="s">
        <v>72</v>
      </c>
      <c r="B313" t="s">
        <v>4474</v>
      </c>
      <c r="C313" t="s">
        <v>74</v>
      </c>
      <c r="D313" t="s">
        <v>74</v>
      </c>
      <c r="E313" t="s">
        <v>74</v>
      </c>
      <c r="F313" t="s">
        <v>4474</v>
      </c>
      <c r="G313" t="s">
        <v>74</v>
      </c>
      <c r="H313" t="s">
        <v>74</v>
      </c>
      <c r="I313" t="s">
        <v>4475</v>
      </c>
      <c r="J313" t="s">
        <v>1771</v>
      </c>
      <c r="K313" t="s">
        <v>74</v>
      </c>
      <c r="L313" t="s">
        <v>74</v>
      </c>
      <c r="M313" t="s">
        <v>77</v>
      </c>
      <c r="N313" t="s">
        <v>103</v>
      </c>
      <c r="O313" t="s">
        <v>74</v>
      </c>
      <c r="P313" t="s">
        <v>74</v>
      </c>
      <c r="Q313" t="s">
        <v>74</v>
      </c>
      <c r="R313" t="s">
        <v>74</v>
      </c>
      <c r="S313" t="s">
        <v>74</v>
      </c>
      <c r="T313" t="s">
        <v>74</v>
      </c>
      <c r="U313" t="s">
        <v>4476</v>
      </c>
      <c r="V313" t="s">
        <v>4477</v>
      </c>
      <c r="W313" t="s">
        <v>4478</v>
      </c>
      <c r="X313" t="s">
        <v>4479</v>
      </c>
      <c r="Y313" t="s">
        <v>4480</v>
      </c>
      <c r="Z313" t="s">
        <v>74</v>
      </c>
      <c r="AA313" t="s">
        <v>74</v>
      </c>
      <c r="AB313" t="s">
        <v>4481</v>
      </c>
      <c r="AC313" t="s">
        <v>74</v>
      </c>
      <c r="AD313" t="s">
        <v>74</v>
      </c>
      <c r="AE313" t="s">
        <v>74</v>
      </c>
      <c r="AF313" t="s">
        <v>74</v>
      </c>
      <c r="AG313">
        <v>48</v>
      </c>
      <c r="AH313">
        <v>50</v>
      </c>
      <c r="AI313">
        <v>54</v>
      </c>
      <c r="AJ313">
        <v>0</v>
      </c>
      <c r="AK313">
        <v>7</v>
      </c>
      <c r="AL313" t="s">
        <v>4482</v>
      </c>
      <c r="AM313" t="s">
        <v>4483</v>
      </c>
      <c r="AN313" t="s">
        <v>4484</v>
      </c>
      <c r="AO313" t="s">
        <v>1778</v>
      </c>
      <c r="AP313" t="s">
        <v>74</v>
      </c>
      <c r="AQ313" t="s">
        <v>74</v>
      </c>
      <c r="AR313" t="s">
        <v>1780</v>
      </c>
      <c r="AS313" t="s">
        <v>1781</v>
      </c>
      <c r="AT313" t="s">
        <v>3946</v>
      </c>
      <c r="AU313">
        <v>1998</v>
      </c>
      <c r="AV313">
        <v>43</v>
      </c>
      <c r="AW313">
        <v>8</v>
      </c>
      <c r="AX313" t="s">
        <v>74</v>
      </c>
      <c r="AY313" t="s">
        <v>74</v>
      </c>
      <c r="AZ313" t="s">
        <v>74</v>
      </c>
      <c r="BA313" t="s">
        <v>74</v>
      </c>
      <c r="BB313">
        <v>1894</v>
      </c>
      <c r="BC313">
        <v>1901</v>
      </c>
      <c r="BD313" t="s">
        <v>74</v>
      </c>
      <c r="BE313" t="s">
        <v>74</v>
      </c>
      <c r="BF313" t="s">
        <v>74</v>
      </c>
      <c r="BG313" t="s">
        <v>74</v>
      </c>
      <c r="BH313" t="s">
        <v>74</v>
      </c>
      <c r="BI313">
        <v>8</v>
      </c>
      <c r="BJ313" t="s">
        <v>1783</v>
      </c>
      <c r="BK313" t="s">
        <v>95</v>
      </c>
      <c r="BL313" t="s">
        <v>1128</v>
      </c>
      <c r="BM313" t="s">
        <v>4485</v>
      </c>
      <c r="BN313" t="s">
        <v>74</v>
      </c>
      <c r="BO313" t="s">
        <v>74</v>
      </c>
      <c r="BP313" t="s">
        <v>74</v>
      </c>
      <c r="BQ313" t="s">
        <v>74</v>
      </c>
      <c r="BR313" t="s">
        <v>98</v>
      </c>
      <c r="BS313" t="s">
        <v>4486</v>
      </c>
      <c r="BT313" t="str">
        <f>HYPERLINK("https%3A%2F%2Fwww.webofscience.com%2Fwos%2Fwoscc%2Ffull-record%2FWOS:000077563500012","View Full Record in Web of Science")</f>
        <v>View Full Record in Web of Science</v>
      </c>
    </row>
    <row r="314" spans="1:72" x14ac:dyDescent="0.15">
      <c r="A314" t="s">
        <v>72</v>
      </c>
      <c r="B314" t="s">
        <v>4487</v>
      </c>
      <c r="C314" t="s">
        <v>74</v>
      </c>
      <c r="D314" t="s">
        <v>74</v>
      </c>
      <c r="E314" t="s">
        <v>74</v>
      </c>
      <c r="F314" t="s">
        <v>4487</v>
      </c>
      <c r="G314" t="s">
        <v>74</v>
      </c>
      <c r="H314" t="s">
        <v>74</v>
      </c>
      <c r="I314" t="s">
        <v>4488</v>
      </c>
      <c r="J314" t="s">
        <v>1842</v>
      </c>
      <c r="K314" t="s">
        <v>74</v>
      </c>
      <c r="L314" t="s">
        <v>74</v>
      </c>
      <c r="M314" t="s">
        <v>77</v>
      </c>
      <c r="N314" t="s">
        <v>103</v>
      </c>
      <c r="O314" t="s">
        <v>74</v>
      </c>
      <c r="P314" t="s">
        <v>74</v>
      </c>
      <c r="Q314" t="s">
        <v>74</v>
      </c>
      <c r="R314" t="s">
        <v>74</v>
      </c>
      <c r="S314" t="s">
        <v>74</v>
      </c>
      <c r="T314" t="s">
        <v>74</v>
      </c>
      <c r="U314" t="s">
        <v>4489</v>
      </c>
      <c r="V314" t="s">
        <v>4490</v>
      </c>
      <c r="W314" t="s">
        <v>4491</v>
      </c>
      <c r="X314" t="s">
        <v>4492</v>
      </c>
      <c r="Y314" t="s">
        <v>4493</v>
      </c>
      <c r="Z314" t="s">
        <v>4494</v>
      </c>
      <c r="AA314" t="s">
        <v>4495</v>
      </c>
      <c r="AB314" t="s">
        <v>74</v>
      </c>
      <c r="AC314" t="s">
        <v>74</v>
      </c>
      <c r="AD314" t="s">
        <v>74</v>
      </c>
      <c r="AE314" t="s">
        <v>74</v>
      </c>
      <c r="AF314" t="s">
        <v>74</v>
      </c>
      <c r="AG314">
        <v>35</v>
      </c>
      <c r="AH314">
        <v>49</v>
      </c>
      <c r="AI314">
        <v>67</v>
      </c>
      <c r="AJ314">
        <v>1</v>
      </c>
      <c r="AK314">
        <v>18</v>
      </c>
      <c r="AL314" t="s">
        <v>1059</v>
      </c>
      <c r="AM314" t="s">
        <v>1060</v>
      </c>
      <c r="AN314" t="s">
        <v>1061</v>
      </c>
      <c r="AO314" t="s">
        <v>1848</v>
      </c>
      <c r="AP314" t="s">
        <v>4496</v>
      </c>
      <c r="AQ314" t="s">
        <v>74</v>
      </c>
      <c r="AR314" t="s">
        <v>1849</v>
      </c>
      <c r="AS314" t="s">
        <v>1850</v>
      </c>
      <c r="AT314" t="s">
        <v>3946</v>
      </c>
      <c r="AU314">
        <v>1998</v>
      </c>
      <c r="AV314">
        <v>132</v>
      </c>
      <c r="AW314">
        <v>4</v>
      </c>
      <c r="AX314" t="s">
        <v>74</v>
      </c>
      <c r="AY314" t="s">
        <v>74</v>
      </c>
      <c r="AZ314" t="s">
        <v>74</v>
      </c>
      <c r="BA314" t="s">
        <v>74</v>
      </c>
      <c r="BB314">
        <v>591</v>
      </c>
      <c r="BC314">
        <v>598</v>
      </c>
      <c r="BD314" t="s">
        <v>74</v>
      </c>
      <c r="BE314" t="s">
        <v>4497</v>
      </c>
      <c r="BF314" t="str">
        <f>HYPERLINK("http://dx.doi.org/10.1007/s002270050424","http://dx.doi.org/10.1007/s002270050424")</f>
        <v>http://dx.doi.org/10.1007/s002270050424</v>
      </c>
      <c r="BG314" t="s">
        <v>74</v>
      </c>
      <c r="BH314" t="s">
        <v>74</v>
      </c>
      <c r="BI314">
        <v>8</v>
      </c>
      <c r="BJ314" t="s">
        <v>212</v>
      </c>
      <c r="BK314" t="s">
        <v>95</v>
      </c>
      <c r="BL314" t="s">
        <v>212</v>
      </c>
      <c r="BM314" t="s">
        <v>4498</v>
      </c>
      <c r="BN314" t="s">
        <v>74</v>
      </c>
      <c r="BO314" t="s">
        <v>74</v>
      </c>
      <c r="BP314" t="s">
        <v>74</v>
      </c>
      <c r="BQ314" t="s">
        <v>74</v>
      </c>
      <c r="BR314" t="s">
        <v>98</v>
      </c>
      <c r="BS314" t="s">
        <v>4499</v>
      </c>
      <c r="BT314" t="str">
        <f>HYPERLINK("https%3A%2F%2Fwww.webofscience.com%2Fwos%2Fwoscc%2Ffull-record%2FWOS:000077657100005","View Full Record in Web of Science")</f>
        <v>View Full Record in Web of Science</v>
      </c>
    </row>
    <row r="315" spans="1:72" x14ac:dyDescent="0.15">
      <c r="A315" t="s">
        <v>72</v>
      </c>
      <c r="B315" t="s">
        <v>4500</v>
      </c>
      <c r="C315" t="s">
        <v>74</v>
      </c>
      <c r="D315" t="s">
        <v>74</v>
      </c>
      <c r="E315" t="s">
        <v>74</v>
      </c>
      <c r="F315" t="s">
        <v>4500</v>
      </c>
      <c r="G315" t="s">
        <v>74</v>
      </c>
      <c r="H315" t="s">
        <v>74</v>
      </c>
      <c r="I315" t="s">
        <v>4501</v>
      </c>
      <c r="J315" t="s">
        <v>4502</v>
      </c>
      <c r="K315" t="s">
        <v>74</v>
      </c>
      <c r="L315" t="s">
        <v>74</v>
      </c>
      <c r="M315" t="s">
        <v>77</v>
      </c>
      <c r="N315" t="s">
        <v>103</v>
      </c>
      <c r="O315" t="s">
        <v>74</v>
      </c>
      <c r="P315" t="s">
        <v>74</v>
      </c>
      <c r="Q315" t="s">
        <v>74</v>
      </c>
      <c r="R315" t="s">
        <v>74</v>
      </c>
      <c r="S315" t="s">
        <v>74</v>
      </c>
      <c r="T315" t="s">
        <v>4503</v>
      </c>
      <c r="U315" t="s">
        <v>4504</v>
      </c>
      <c r="V315" t="s">
        <v>4505</v>
      </c>
      <c r="W315" t="s">
        <v>4506</v>
      </c>
      <c r="X315" t="s">
        <v>4507</v>
      </c>
      <c r="Y315" t="s">
        <v>4508</v>
      </c>
      <c r="Z315" t="s">
        <v>74</v>
      </c>
      <c r="AA315" t="s">
        <v>74</v>
      </c>
      <c r="AB315" t="s">
        <v>74</v>
      </c>
      <c r="AC315" t="s">
        <v>74</v>
      </c>
      <c r="AD315" t="s">
        <v>74</v>
      </c>
      <c r="AE315" t="s">
        <v>74</v>
      </c>
      <c r="AF315" t="s">
        <v>74</v>
      </c>
      <c r="AG315">
        <v>27</v>
      </c>
      <c r="AH315">
        <v>21</v>
      </c>
      <c r="AI315">
        <v>26</v>
      </c>
      <c r="AJ315">
        <v>0</v>
      </c>
      <c r="AK315">
        <v>7</v>
      </c>
      <c r="AL315" t="s">
        <v>1037</v>
      </c>
      <c r="AM315" t="s">
        <v>1038</v>
      </c>
      <c r="AN315" t="s">
        <v>1039</v>
      </c>
      <c r="AO315" t="s">
        <v>4509</v>
      </c>
      <c r="AP315" t="s">
        <v>74</v>
      </c>
      <c r="AQ315" t="s">
        <v>74</v>
      </c>
      <c r="AR315" t="s">
        <v>4510</v>
      </c>
      <c r="AS315" t="s">
        <v>4511</v>
      </c>
      <c r="AT315" t="s">
        <v>3946</v>
      </c>
      <c r="AU315">
        <v>1998</v>
      </c>
      <c r="AV315">
        <v>152</v>
      </c>
      <c r="AW315">
        <v>4</v>
      </c>
      <c r="AX315" t="s">
        <v>74</v>
      </c>
      <c r="AY315" t="s">
        <v>74</v>
      </c>
      <c r="AZ315" t="s">
        <v>74</v>
      </c>
      <c r="BA315" t="s">
        <v>74</v>
      </c>
      <c r="BB315">
        <v>247</v>
      </c>
      <c r="BC315">
        <v>259</v>
      </c>
      <c r="BD315" t="s">
        <v>74</v>
      </c>
      <c r="BE315" t="s">
        <v>4512</v>
      </c>
      <c r="BF315" t="str">
        <f>HYPERLINK("http://dx.doi.org/10.1016/S0025-3227(98)80043-1","http://dx.doi.org/10.1016/S0025-3227(98)80043-1")</f>
        <v>http://dx.doi.org/10.1016/S0025-3227(98)80043-1</v>
      </c>
      <c r="BG315" t="s">
        <v>74</v>
      </c>
      <c r="BH315" t="s">
        <v>74</v>
      </c>
      <c r="BI315">
        <v>13</v>
      </c>
      <c r="BJ315" t="s">
        <v>893</v>
      </c>
      <c r="BK315" t="s">
        <v>95</v>
      </c>
      <c r="BL315" t="s">
        <v>894</v>
      </c>
      <c r="BM315" t="s">
        <v>4513</v>
      </c>
      <c r="BN315" t="s">
        <v>74</v>
      </c>
      <c r="BO315" t="s">
        <v>1429</v>
      </c>
      <c r="BP315" t="s">
        <v>74</v>
      </c>
      <c r="BQ315" t="s">
        <v>74</v>
      </c>
      <c r="BR315" t="s">
        <v>98</v>
      </c>
      <c r="BS315" t="s">
        <v>4514</v>
      </c>
      <c r="BT315" t="str">
        <f>HYPERLINK("https%3A%2F%2Fwww.webofscience.com%2Fwos%2Fwoscc%2Ffull-record%2FWOS:000077110200001","View Full Record in Web of Science")</f>
        <v>View Full Record in Web of Science</v>
      </c>
    </row>
    <row r="316" spans="1:72" x14ac:dyDescent="0.15">
      <c r="A316" t="s">
        <v>72</v>
      </c>
      <c r="B316" t="s">
        <v>4515</v>
      </c>
      <c r="C316" t="s">
        <v>74</v>
      </c>
      <c r="D316" t="s">
        <v>74</v>
      </c>
      <c r="E316" t="s">
        <v>74</v>
      </c>
      <c r="F316" t="s">
        <v>4515</v>
      </c>
      <c r="G316" t="s">
        <v>74</v>
      </c>
      <c r="H316" t="s">
        <v>74</v>
      </c>
      <c r="I316" t="s">
        <v>4516</v>
      </c>
      <c r="J316" t="s">
        <v>4517</v>
      </c>
      <c r="K316" t="s">
        <v>74</v>
      </c>
      <c r="L316" t="s">
        <v>74</v>
      </c>
      <c r="M316" t="s">
        <v>77</v>
      </c>
      <c r="N316" t="s">
        <v>103</v>
      </c>
      <c r="O316" t="s">
        <v>74</v>
      </c>
      <c r="P316" t="s">
        <v>74</v>
      </c>
      <c r="Q316" t="s">
        <v>74</v>
      </c>
      <c r="R316" t="s">
        <v>74</v>
      </c>
      <c r="S316" t="s">
        <v>74</v>
      </c>
      <c r="T316" t="s">
        <v>4518</v>
      </c>
      <c r="U316" t="s">
        <v>4519</v>
      </c>
      <c r="V316" t="s">
        <v>4520</v>
      </c>
      <c r="W316" t="s">
        <v>4521</v>
      </c>
      <c r="X316" t="s">
        <v>3561</v>
      </c>
      <c r="Y316" t="s">
        <v>4522</v>
      </c>
      <c r="Z316" t="s">
        <v>74</v>
      </c>
      <c r="AA316" t="s">
        <v>74</v>
      </c>
      <c r="AB316" t="s">
        <v>4523</v>
      </c>
      <c r="AC316" t="s">
        <v>74</v>
      </c>
      <c r="AD316" t="s">
        <v>74</v>
      </c>
      <c r="AE316" t="s">
        <v>74</v>
      </c>
      <c r="AF316" t="s">
        <v>74</v>
      </c>
      <c r="AG316">
        <v>22</v>
      </c>
      <c r="AH316">
        <v>16</v>
      </c>
      <c r="AI316">
        <v>17</v>
      </c>
      <c r="AJ316">
        <v>0</v>
      </c>
      <c r="AK316">
        <v>3</v>
      </c>
      <c r="AL316" t="s">
        <v>4524</v>
      </c>
      <c r="AM316" t="s">
        <v>911</v>
      </c>
      <c r="AN316" t="s">
        <v>4525</v>
      </c>
      <c r="AO316" t="s">
        <v>4526</v>
      </c>
      <c r="AP316" t="s">
        <v>74</v>
      </c>
      <c r="AQ316" t="s">
        <v>74</v>
      </c>
      <c r="AR316" t="s">
        <v>4517</v>
      </c>
      <c r="AS316" t="s">
        <v>4527</v>
      </c>
      <c r="AT316" t="s">
        <v>3946</v>
      </c>
      <c r="AU316">
        <v>1998</v>
      </c>
      <c r="AV316">
        <v>44</v>
      </c>
      <c r="AW316">
        <v>6</v>
      </c>
      <c r="AX316" t="s">
        <v>74</v>
      </c>
      <c r="AY316" t="s">
        <v>74</v>
      </c>
      <c r="AZ316" t="s">
        <v>74</v>
      </c>
      <c r="BA316" t="s">
        <v>74</v>
      </c>
      <c r="BB316">
        <v>643</v>
      </c>
      <c r="BC316">
        <v>653</v>
      </c>
      <c r="BD316" t="s">
        <v>74</v>
      </c>
      <c r="BE316" t="s">
        <v>4528</v>
      </c>
      <c r="BF316" t="str">
        <f>HYPERLINK("http://dx.doi.org/10.1163/005725998X00050","http://dx.doi.org/10.1163/005725998X00050")</f>
        <v>http://dx.doi.org/10.1163/005725998X00050</v>
      </c>
      <c r="BG316" t="s">
        <v>74</v>
      </c>
      <c r="BH316" t="s">
        <v>74</v>
      </c>
      <c r="BI316">
        <v>11</v>
      </c>
      <c r="BJ316" t="s">
        <v>117</v>
      </c>
      <c r="BK316" t="s">
        <v>95</v>
      </c>
      <c r="BL316" t="s">
        <v>117</v>
      </c>
      <c r="BM316" t="s">
        <v>4529</v>
      </c>
      <c r="BN316" t="s">
        <v>74</v>
      </c>
      <c r="BO316" t="s">
        <v>74</v>
      </c>
      <c r="BP316" t="s">
        <v>74</v>
      </c>
      <c r="BQ316" t="s">
        <v>74</v>
      </c>
      <c r="BR316" t="s">
        <v>98</v>
      </c>
      <c r="BS316" t="s">
        <v>4530</v>
      </c>
      <c r="BT316" t="str">
        <f>HYPERLINK("https%3A%2F%2Fwww.webofscience.com%2Fwos%2Fwoscc%2Ffull-record%2FWOS:000077728000005","View Full Record in Web of Science")</f>
        <v>View Full Record in Web of Science</v>
      </c>
    </row>
    <row r="317" spans="1:72" x14ac:dyDescent="0.15">
      <c r="A317" t="s">
        <v>72</v>
      </c>
      <c r="B317" t="s">
        <v>4531</v>
      </c>
      <c r="C317" t="s">
        <v>74</v>
      </c>
      <c r="D317" t="s">
        <v>74</v>
      </c>
      <c r="E317" t="s">
        <v>74</v>
      </c>
      <c r="F317" t="s">
        <v>4531</v>
      </c>
      <c r="G317" t="s">
        <v>74</v>
      </c>
      <c r="H317" t="s">
        <v>74</v>
      </c>
      <c r="I317" t="s">
        <v>4532</v>
      </c>
      <c r="J317" t="s">
        <v>4533</v>
      </c>
      <c r="K317" t="s">
        <v>74</v>
      </c>
      <c r="L317" t="s">
        <v>74</v>
      </c>
      <c r="M317" t="s">
        <v>77</v>
      </c>
      <c r="N317" t="s">
        <v>103</v>
      </c>
      <c r="O317" t="s">
        <v>74</v>
      </c>
      <c r="P317" t="s">
        <v>74</v>
      </c>
      <c r="Q317" t="s">
        <v>74</v>
      </c>
      <c r="R317" t="s">
        <v>74</v>
      </c>
      <c r="S317" t="s">
        <v>74</v>
      </c>
      <c r="T317" t="s">
        <v>4534</v>
      </c>
      <c r="U317" t="s">
        <v>4535</v>
      </c>
      <c r="V317" t="s">
        <v>4536</v>
      </c>
      <c r="W317" t="s">
        <v>4537</v>
      </c>
      <c r="X317" t="s">
        <v>4538</v>
      </c>
      <c r="Y317" t="s">
        <v>4539</v>
      </c>
      <c r="Z317" t="s">
        <v>74</v>
      </c>
      <c r="AA317" t="s">
        <v>74</v>
      </c>
      <c r="AB317" t="s">
        <v>74</v>
      </c>
      <c r="AC317" t="s">
        <v>74</v>
      </c>
      <c r="AD317" t="s">
        <v>74</v>
      </c>
      <c r="AE317" t="s">
        <v>74</v>
      </c>
      <c r="AF317" t="s">
        <v>74</v>
      </c>
      <c r="AG317">
        <v>59</v>
      </c>
      <c r="AH317">
        <v>45</v>
      </c>
      <c r="AI317">
        <v>47</v>
      </c>
      <c r="AJ317">
        <v>1</v>
      </c>
      <c r="AK317">
        <v>8</v>
      </c>
      <c r="AL317" t="s">
        <v>4540</v>
      </c>
      <c r="AM317" t="s">
        <v>4541</v>
      </c>
      <c r="AN317" t="s">
        <v>4542</v>
      </c>
      <c r="AO317" t="s">
        <v>4543</v>
      </c>
      <c r="AP317" t="s">
        <v>74</v>
      </c>
      <c r="AQ317" t="s">
        <v>74</v>
      </c>
      <c r="AR317" t="s">
        <v>4544</v>
      </c>
      <c r="AS317" t="s">
        <v>4545</v>
      </c>
      <c r="AT317" t="s">
        <v>3946</v>
      </c>
      <c r="AU317">
        <v>1998</v>
      </c>
      <c r="AV317">
        <v>36</v>
      </c>
      <c r="AW317">
        <v>4</v>
      </c>
      <c r="AX317" t="s">
        <v>74</v>
      </c>
      <c r="AY317" t="s">
        <v>74</v>
      </c>
      <c r="AZ317" t="s">
        <v>74</v>
      </c>
      <c r="BA317" t="s">
        <v>74</v>
      </c>
      <c r="BB317">
        <v>617</v>
      </c>
      <c r="BC317">
        <v>635</v>
      </c>
      <c r="BD317" t="s">
        <v>74</v>
      </c>
      <c r="BE317" t="s">
        <v>74</v>
      </c>
      <c r="BF317" t="s">
        <v>74</v>
      </c>
      <c r="BG317" t="s">
        <v>74</v>
      </c>
      <c r="BH317" t="s">
        <v>74</v>
      </c>
      <c r="BI317">
        <v>19</v>
      </c>
      <c r="BJ317" t="s">
        <v>382</v>
      </c>
      <c r="BK317" t="s">
        <v>95</v>
      </c>
      <c r="BL317" t="s">
        <v>382</v>
      </c>
      <c r="BM317" t="s">
        <v>4546</v>
      </c>
      <c r="BN317" t="s">
        <v>74</v>
      </c>
      <c r="BO317" t="s">
        <v>74</v>
      </c>
      <c r="BP317" t="s">
        <v>74</v>
      </c>
      <c r="BQ317" t="s">
        <v>74</v>
      </c>
      <c r="BR317" t="s">
        <v>98</v>
      </c>
      <c r="BS317" t="s">
        <v>4547</v>
      </c>
      <c r="BT317" t="str">
        <f>HYPERLINK("https%3A%2F%2Fwww.webofscience.com%2Fwos%2Fwoscc%2Ffull-record%2FWOS:000077844500009","View Full Record in Web of Science")</f>
        <v>View Full Record in Web of Science</v>
      </c>
    </row>
    <row r="318" spans="1:72" x14ac:dyDescent="0.15">
      <c r="A318" t="s">
        <v>72</v>
      </c>
      <c r="B318" t="s">
        <v>4548</v>
      </c>
      <c r="C318" t="s">
        <v>74</v>
      </c>
      <c r="D318" t="s">
        <v>74</v>
      </c>
      <c r="E318" t="s">
        <v>74</v>
      </c>
      <c r="F318" t="s">
        <v>4548</v>
      </c>
      <c r="G318" t="s">
        <v>74</v>
      </c>
      <c r="H318" t="s">
        <v>74</v>
      </c>
      <c r="I318" t="s">
        <v>4549</v>
      </c>
      <c r="J318" t="s">
        <v>4550</v>
      </c>
      <c r="K318" t="s">
        <v>74</v>
      </c>
      <c r="L318" t="s">
        <v>74</v>
      </c>
      <c r="M318" t="s">
        <v>77</v>
      </c>
      <c r="N318" t="s">
        <v>103</v>
      </c>
      <c r="O318" t="s">
        <v>74</v>
      </c>
      <c r="P318" t="s">
        <v>74</v>
      </c>
      <c r="Q318" t="s">
        <v>74</v>
      </c>
      <c r="R318" t="s">
        <v>74</v>
      </c>
      <c r="S318" t="s">
        <v>74</v>
      </c>
      <c r="T318" t="s">
        <v>74</v>
      </c>
      <c r="U318" t="s">
        <v>4551</v>
      </c>
      <c r="V318" t="s">
        <v>4552</v>
      </c>
      <c r="W318" t="s">
        <v>4553</v>
      </c>
      <c r="X318" t="s">
        <v>4554</v>
      </c>
      <c r="Y318" t="s">
        <v>4555</v>
      </c>
      <c r="Z318" t="s">
        <v>4556</v>
      </c>
      <c r="AA318" t="s">
        <v>74</v>
      </c>
      <c r="AB318" t="s">
        <v>4557</v>
      </c>
      <c r="AC318" t="s">
        <v>74</v>
      </c>
      <c r="AD318" t="s">
        <v>74</v>
      </c>
      <c r="AE318" t="s">
        <v>74</v>
      </c>
      <c r="AF318" t="s">
        <v>74</v>
      </c>
      <c r="AG318">
        <v>38</v>
      </c>
      <c r="AH318">
        <v>35</v>
      </c>
      <c r="AI318">
        <v>35</v>
      </c>
      <c r="AJ318">
        <v>0</v>
      </c>
      <c r="AK318">
        <v>25</v>
      </c>
      <c r="AL318" t="s">
        <v>655</v>
      </c>
      <c r="AM318" t="s">
        <v>656</v>
      </c>
      <c r="AN318" t="s">
        <v>657</v>
      </c>
      <c r="AO318" t="s">
        <v>4558</v>
      </c>
      <c r="AP318" t="s">
        <v>4559</v>
      </c>
      <c r="AQ318" t="s">
        <v>74</v>
      </c>
      <c r="AR318" t="s">
        <v>4550</v>
      </c>
      <c r="AS318" t="s">
        <v>4560</v>
      </c>
      <c r="AT318" t="s">
        <v>3946</v>
      </c>
      <c r="AU318">
        <v>1998</v>
      </c>
      <c r="AV318">
        <v>83</v>
      </c>
      <c r="AW318">
        <v>3</v>
      </c>
      <c r="AX318" t="s">
        <v>74</v>
      </c>
      <c r="AY318" t="s">
        <v>74</v>
      </c>
      <c r="AZ318" t="s">
        <v>74</v>
      </c>
      <c r="BA318" t="s">
        <v>74</v>
      </c>
      <c r="BB318">
        <v>574</v>
      </c>
      <c r="BC318">
        <v>581</v>
      </c>
      <c r="BD318" t="s">
        <v>74</v>
      </c>
      <c r="BE318" t="s">
        <v>4561</v>
      </c>
      <c r="BF318" t="str">
        <f>HYPERLINK("http://dx.doi.org/10.2307/3546684","http://dx.doi.org/10.2307/3546684")</f>
        <v>http://dx.doi.org/10.2307/3546684</v>
      </c>
      <c r="BG318" t="s">
        <v>74</v>
      </c>
      <c r="BH318" t="s">
        <v>74</v>
      </c>
      <c r="BI318">
        <v>8</v>
      </c>
      <c r="BJ318" t="s">
        <v>660</v>
      </c>
      <c r="BK318" t="s">
        <v>95</v>
      </c>
      <c r="BL318" t="s">
        <v>661</v>
      </c>
      <c r="BM318" t="s">
        <v>4562</v>
      </c>
      <c r="BN318" t="s">
        <v>74</v>
      </c>
      <c r="BO318" t="s">
        <v>74</v>
      </c>
      <c r="BP318" t="s">
        <v>74</v>
      </c>
      <c r="BQ318" t="s">
        <v>74</v>
      </c>
      <c r="BR318" t="s">
        <v>98</v>
      </c>
      <c r="BS318" t="s">
        <v>4563</v>
      </c>
      <c r="BT318" t="str">
        <f>HYPERLINK("https%3A%2F%2Fwww.webofscience.com%2Fwos%2Fwoscc%2Ffull-record%2FWOS:000078350500017","View Full Record in Web of Science")</f>
        <v>View Full Record in Web of Science</v>
      </c>
    </row>
    <row r="319" spans="1:72" x14ac:dyDescent="0.15">
      <c r="A319" t="s">
        <v>72</v>
      </c>
      <c r="B319" t="s">
        <v>4564</v>
      </c>
      <c r="C319" t="s">
        <v>74</v>
      </c>
      <c r="D319" t="s">
        <v>74</v>
      </c>
      <c r="E319" t="s">
        <v>74</v>
      </c>
      <c r="F319" t="s">
        <v>4564</v>
      </c>
      <c r="G319" t="s">
        <v>74</v>
      </c>
      <c r="H319" t="s">
        <v>74</v>
      </c>
      <c r="I319" t="s">
        <v>4565</v>
      </c>
      <c r="J319" t="s">
        <v>4566</v>
      </c>
      <c r="K319" t="s">
        <v>74</v>
      </c>
      <c r="L319" t="s">
        <v>74</v>
      </c>
      <c r="M319" t="s">
        <v>77</v>
      </c>
      <c r="N319" t="s">
        <v>78</v>
      </c>
      <c r="O319" t="s">
        <v>74</v>
      </c>
      <c r="P319" t="s">
        <v>74</v>
      </c>
      <c r="Q319" t="s">
        <v>74</v>
      </c>
      <c r="R319" t="s">
        <v>74</v>
      </c>
      <c r="S319" t="s">
        <v>74</v>
      </c>
      <c r="T319" t="s">
        <v>74</v>
      </c>
      <c r="U319" t="s">
        <v>4567</v>
      </c>
      <c r="V319" t="s">
        <v>4568</v>
      </c>
      <c r="W319" t="s">
        <v>4569</v>
      </c>
      <c r="X319" t="s">
        <v>4570</v>
      </c>
      <c r="Y319" t="s">
        <v>4571</v>
      </c>
      <c r="Z319" t="s">
        <v>74</v>
      </c>
      <c r="AA319" t="s">
        <v>74</v>
      </c>
      <c r="AB319" t="s">
        <v>74</v>
      </c>
      <c r="AC319" t="s">
        <v>74</v>
      </c>
      <c r="AD319" t="s">
        <v>74</v>
      </c>
      <c r="AE319" t="s">
        <v>74</v>
      </c>
      <c r="AF319" t="s">
        <v>74</v>
      </c>
      <c r="AG319">
        <v>116</v>
      </c>
      <c r="AH319">
        <v>47</v>
      </c>
      <c r="AI319">
        <v>48</v>
      </c>
      <c r="AJ319">
        <v>0</v>
      </c>
      <c r="AK319">
        <v>2</v>
      </c>
      <c r="AL319" t="s">
        <v>4572</v>
      </c>
      <c r="AM319" t="s">
        <v>229</v>
      </c>
      <c r="AN319" t="s">
        <v>4573</v>
      </c>
      <c r="AO319" t="s">
        <v>4574</v>
      </c>
      <c r="AP319" t="s">
        <v>74</v>
      </c>
      <c r="AQ319" t="s">
        <v>74</v>
      </c>
      <c r="AR319" t="s">
        <v>4566</v>
      </c>
      <c r="AS319" t="s">
        <v>2287</v>
      </c>
      <c r="AT319" t="s">
        <v>3946</v>
      </c>
      <c r="AU319">
        <v>1998</v>
      </c>
      <c r="AV319">
        <v>41</v>
      </c>
      <c r="AW319" t="s">
        <v>74</v>
      </c>
      <c r="AX319">
        <v>6</v>
      </c>
      <c r="AY319" t="s">
        <v>74</v>
      </c>
      <c r="AZ319" t="s">
        <v>74</v>
      </c>
      <c r="BA319" t="s">
        <v>74</v>
      </c>
      <c r="BB319">
        <v>1093</v>
      </c>
      <c r="BC319">
        <v>1131</v>
      </c>
      <c r="BD319" t="s">
        <v>74</v>
      </c>
      <c r="BE319" t="s">
        <v>74</v>
      </c>
      <c r="BF319" t="s">
        <v>74</v>
      </c>
      <c r="BG319" t="s">
        <v>74</v>
      </c>
      <c r="BH319" t="s">
        <v>74</v>
      </c>
      <c r="BI319">
        <v>39</v>
      </c>
      <c r="BJ319" t="s">
        <v>2287</v>
      </c>
      <c r="BK319" t="s">
        <v>95</v>
      </c>
      <c r="BL319" t="s">
        <v>2287</v>
      </c>
      <c r="BM319" t="s">
        <v>4575</v>
      </c>
      <c r="BN319" t="s">
        <v>74</v>
      </c>
      <c r="BO319" t="s">
        <v>74</v>
      </c>
      <c r="BP319" t="s">
        <v>74</v>
      </c>
      <c r="BQ319" t="s">
        <v>74</v>
      </c>
      <c r="BR319" t="s">
        <v>98</v>
      </c>
      <c r="BS319" t="s">
        <v>4576</v>
      </c>
      <c r="BT319" t="str">
        <f>HYPERLINK("https%3A%2F%2Fwww.webofscience.com%2Fwos%2Fwoscc%2Ffull-record%2FWOS:000078011500001","View Full Record in Web of Science")</f>
        <v>View Full Record in Web of Science</v>
      </c>
    </row>
    <row r="320" spans="1:72" x14ac:dyDescent="0.15">
      <c r="A320" t="s">
        <v>72</v>
      </c>
      <c r="B320" t="s">
        <v>4577</v>
      </c>
      <c r="C320" t="s">
        <v>74</v>
      </c>
      <c r="D320" t="s">
        <v>74</v>
      </c>
      <c r="E320" t="s">
        <v>74</v>
      </c>
      <c r="F320" t="s">
        <v>4577</v>
      </c>
      <c r="G320" t="s">
        <v>74</v>
      </c>
      <c r="H320" t="s">
        <v>74</v>
      </c>
      <c r="I320" t="s">
        <v>4578</v>
      </c>
      <c r="J320" t="s">
        <v>4579</v>
      </c>
      <c r="K320" t="s">
        <v>74</v>
      </c>
      <c r="L320" t="s">
        <v>74</v>
      </c>
      <c r="M320" t="s">
        <v>77</v>
      </c>
      <c r="N320" t="s">
        <v>103</v>
      </c>
      <c r="O320" t="s">
        <v>74</v>
      </c>
      <c r="P320" t="s">
        <v>74</v>
      </c>
      <c r="Q320" t="s">
        <v>74</v>
      </c>
      <c r="R320" t="s">
        <v>74</v>
      </c>
      <c r="S320" t="s">
        <v>74</v>
      </c>
      <c r="T320" t="s">
        <v>74</v>
      </c>
      <c r="U320" t="s">
        <v>4580</v>
      </c>
      <c r="V320" t="s">
        <v>4581</v>
      </c>
      <c r="W320" t="s">
        <v>4582</v>
      </c>
      <c r="X320" t="s">
        <v>4583</v>
      </c>
      <c r="Y320" t="s">
        <v>4584</v>
      </c>
      <c r="Z320" t="s">
        <v>74</v>
      </c>
      <c r="AA320" t="s">
        <v>4585</v>
      </c>
      <c r="AB320" t="s">
        <v>4586</v>
      </c>
      <c r="AC320" t="s">
        <v>74</v>
      </c>
      <c r="AD320" t="s">
        <v>74</v>
      </c>
      <c r="AE320" t="s">
        <v>74</v>
      </c>
      <c r="AF320" t="s">
        <v>74</v>
      </c>
      <c r="AG320">
        <v>19</v>
      </c>
      <c r="AH320">
        <v>4</v>
      </c>
      <c r="AI320">
        <v>4</v>
      </c>
      <c r="AJ320">
        <v>0</v>
      </c>
      <c r="AK320">
        <v>4</v>
      </c>
      <c r="AL320" t="s">
        <v>4587</v>
      </c>
      <c r="AM320" t="s">
        <v>4407</v>
      </c>
      <c r="AN320" t="s">
        <v>4408</v>
      </c>
      <c r="AO320" t="s">
        <v>4588</v>
      </c>
      <c r="AP320" t="s">
        <v>74</v>
      </c>
      <c r="AQ320" t="s">
        <v>74</v>
      </c>
      <c r="AR320" t="s">
        <v>4579</v>
      </c>
      <c r="AS320" t="s">
        <v>4589</v>
      </c>
      <c r="AT320" t="s">
        <v>4349</v>
      </c>
      <c r="AU320">
        <v>1998</v>
      </c>
      <c r="AV320">
        <v>24</v>
      </c>
      <c r="AW320">
        <v>1</v>
      </c>
      <c r="AX320" t="s">
        <v>74</v>
      </c>
      <c r="AY320" t="s">
        <v>74</v>
      </c>
      <c r="AZ320" t="s">
        <v>74</v>
      </c>
      <c r="BA320" t="s">
        <v>74</v>
      </c>
      <c r="BB320">
        <v>64</v>
      </c>
      <c r="BC320">
        <v>73</v>
      </c>
      <c r="BD320" t="s">
        <v>74</v>
      </c>
      <c r="BE320" t="s">
        <v>4590</v>
      </c>
      <c r="BF320" t="str">
        <f>HYPERLINK("http://dx.doi.org/10.1017/S0094837300019977","http://dx.doi.org/10.1017/S0094837300019977")</f>
        <v>http://dx.doi.org/10.1017/S0094837300019977</v>
      </c>
      <c r="BG320" t="s">
        <v>74</v>
      </c>
      <c r="BH320" t="s">
        <v>74</v>
      </c>
      <c r="BI320">
        <v>10</v>
      </c>
      <c r="BJ320" t="s">
        <v>4591</v>
      </c>
      <c r="BK320" t="s">
        <v>95</v>
      </c>
      <c r="BL320" t="s">
        <v>4592</v>
      </c>
      <c r="BM320" t="s">
        <v>4593</v>
      </c>
      <c r="BN320" t="s">
        <v>74</v>
      </c>
      <c r="BO320" t="s">
        <v>74</v>
      </c>
      <c r="BP320" t="s">
        <v>74</v>
      </c>
      <c r="BQ320" t="s">
        <v>74</v>
      </c>
      <c r="BR320" t="s">
        <v>98</v>
      </c>
      <c r="BS320" t="s">
        <v>4594</v>
      </c>
      <c r="BT320" t="str">
        <f>HYPERLINK("https%3A%2F%2Fwww.webofscience.com%2Fwos%2Fwoscc%2Ffull-record%2FWOS:000072055800005","View Full Record in Web of Science")</f>
        <v>View Full Record in Web of Science</v>
      </c>
    </row>
    <row r="321" spans="1:72" x14ac:dyDescent="0.15">
      <c r="A321" t="s">
        <v>72</v>
      </c>
      <c r="B321" t="s">
        <v>4595</v>
      </c>
      <c r="C321" t="s">
        <v>74</v>
      </c>
      <c r="D321" t="s">
        <v>74</v>
      </c>
      <c r="E321" t="s">
        <v>74</v>
      </c>
      <c r="F321" t="s">
        <v>4595</v>
      </c>
      <c r="G321" t="s">
        <v>74</v>
      </c>
      <c r="H321" t="s">
        <v>74</v>
      </c>
      <c r="I321" t="s">
        <v>4596</v>
      </c>
      <c r="J321" t="s">
        <v>4597</v>
      </c>
      <c r="K321" t="s">
        <v>74</v>
      </c>
      <c r="L321" t="s">
        <v>74</v>
      </c>
      <c r="M321" t="s">
        <v>77</v>
      </c>
      <c r="N321" t="s">
        <v>103</v>
      </c>
      <c r="O321" t="s">
        <v>74</v>
      </c>
      <c r="P321" t="s">
        <v>74</v>
      </c>
      <c r="Q321" t="s">
        <v>74</v>
      </c>
      <c r="R321" t="s">
        <v>74</v>
      </c>
      <c r="S321" t="s">
        <v>74</v>
      </c>
      <c r="T321" t="s">
        <v>74</v>
      </c>
      <c r="U321" t="s">
        <v>4598</v>
      </c>
      <c r="V321" t="s">
        <v>4599</v>
      </c>
      <c r="W321" t="s">
        <v>4600</v>
      </c>
      <c r="X321" t="s">
        <v>4601</v>
      </c>
      <c r="Y321" t="s">
        <v>4602</v>
      </c>
      <c r="Z321" t="s">
        <v>4603</v>
      </c>
      <c r="AA321" t="s">
        <v>4604</v>
      </c>
      <c r="AB321" t="s">
        <v>4605</v>
      </c>
      <c r="AC321" t="s">
        <v>74</v>
      </c>
      <c r="AD321" t="s">
        <v>74</v>
      </c>
      <c r="AE321" t="s">
        <v>74</v>
      </c>
      <c r="AF321" t="s">
        <v>74</v>
      </c>
      <c r="AG321">
        <v>92</v>
      </c>
      <c r="AH321">
        <v>21</v>
      </c>
      <c r="AI321">
        <v>24</v>
      </c>
      <c r="AJ321">
        <v>0</v>
      </c>
      <c r="AK321">
        <v>6</v>
      </c>
      <c r="AL321" t="s">
        <v>966</v>
      </c>
      <c r="AM321" t="s">
        <v>967</v>
      </c>
      <c r="AN321" t="s">
        <v>968</v>
      </c>
      <c r="AO321" t="s">
        <v>4606</v>
      </c>
      <c r="AP321" t="s">
        <v>4607</v>
      </c>
      <c r="AQ321" t="s">
        <v>74</v>
      </c>
      <c r="AR321" t="s">
        <v>4597</v>
      </c>
      <c r="AS321" t="s">
        <v>4608</v>
      </c>
      <c r="AT321" t="s">
        <v>3946</v>
      </c>
      <c r="AU321">
        <v>1998</v>
      </c>
      <c r="AV321">
        <v>13</v>
      </c>
      <c r="AW321">
        <v>6</v>
      </c>
      <c r="AX321" t="s">
        <v>74</v>
      </c>
      <c r="AY321" t="s">
        <v>74</v>
      </c>
      <c r="AZ321" t="s">
        <v>74</v>
      </c>
      <c r="BA321" t="s">
        <v>74</v>
      </c>
      <c r="BB321">
        <v>646</v>
      </c>
      <c r="BC321">
        <v>670</v>
      </c>
      <c r="BD321" t="s">
        <v>74</v>
      </c>
      <c r="BE321" t="s">
        <v>4609</v>
      </c>
      <c r="BF321" t="str">
        <f>HYPERLINK("http://dx.doi.org/10.1029/98PA02357","http://dx.doi.org/10.1029/98PA02357")</f>
        <v>http://dx.doi.org/10.1029/98PA02357</v>
      </c>
      <c r="BG321" t="s">
        <v>74</v>
      </c>
      <c r="BH321" t="s">
        <v>74</v>
      </c>
      <c r="BI321">
        <v>25</v>
      </c>
      <c r="BJ321" t="s">
        <v>4610</v>
      </c>
      <c r="BK321" t="s">
        <v>95</v>
      </c>
      <c r="BL321" t="s">
        <v>3306</v>
      </c>
      <c r="BM321" t="s">
        <v>4611</v>
      </c>
      <c r="BN321" t="s">
        <v>74</v>
      </c>
      <c r="BO321" t="s">
        <v>1089</v>
      </c>
      <c r="BP321" t="s">
        <v>74</v>
      </c>
      <c r="BQ321" t="s">
        <v>74</v>
      </c>
      <c r="BR321" t="s">
        <v>98</v>
      </c>
      <c r="BS321" t="s">
        <v>4612</v>
      </c>
      <c r="BT321" t="str">
        <f>HYPERLINK("https%3A%2F%2Fwww.webofscience.com%2Fwos%2Fwoscc%2Ffull-record%2FWOS:000077598300007","View Full Record in Web of Science")</f>
        <v>View Full Record in Web of Science</v>
      </c>
    </row>
    <row r="322" spans="1:72" x14ac:dyDescent="0.15">
      <c r="A322" t="s">
        <v>72</v>
      </c>
      <c r="B322" t="s">
        <v>4613</v>
      </c>
      <c r="C322" t="s">
        <v>74</v>
      </c>
      <c r="D322" t="s">
        <v>74</v>
      </c>
      <c r="E322" t="s">
        <v>74</v>
      </c>
      <c r="F322" t="s">
        <v>4613</v>
      </c>
      <c r="G322" t="s">
        <v>74</v>
      </c>
      <c r="H322" t="s">
        <v>74</v>
      </c>
      <c r="I322" t="s">
        <v>4614</v>
      </c>
      <c r="J322" t="s">
        <v>4615</v>
      </c>
      <c r="K322" t="s">
        <v>74</v>
      </c>
      <c r="L322" t="s">
        <v>74</v>
      </c>
      <c r="M322" t="s">
        <v>77</v>
      </c>
      <c r="N322" t="s">
        <v>103</v>
      </c>
      <c r="O322" t="s">
        <v>74</v>
      </c>
      <c r="P322" t="s">
        <v>74</v>
      </c>
      <c r="Q322" t="s">
        <v>74</v>
      </c>
      <c r="R322" t="s">
        <v>74</v>
      </c>
      <c r="S322" t="s">
        <v>74</v>
      </c>
      <c r="T322" t="s">
        <v>4616</v>
      </c>
      <c r="U322" t="s">
        <v>4617</v>
      </c>
      <c r="V322" t="s">
        <v>4618</v>
      </c>
      <c r="W322" t="s">
        <v>4619</v>
      </c>
      <c r="X322" t="s">
        <v>4620</v>
      </c>
      <c r="Y322" t="s">
        <v>4621</v>
      </c>
      <c r="Z322" t="s">
        <v>74</v>
      </c>
      <c r="AA322" t="s">
        <v>74</v>
      </c>
      <c r="AB322" t="s">
        <v>74</v>
      </c>
      <c r="AC322" t="s">
        <v>74</v>
      </c>
      <c r="AD322" t="s">
        <v>74</v>
      </c>
      <c r="AE322" t="s">
        <v>74</v>
      </c>
      <c r="AF322" t="s">
        <v>74</v>
      </c>
      <c r="AG322">
        <v>31</v>
      </c>
      <c r="AH322">
        <v>0</v>
      </c>
      <c r="AI322">
        <v>0</v>
      </c>
      <c r="AJ322">
        <v>0</v>
      </c>
      <c r="AK322">
        <v>2</v>
      </c>
      <c r="AL322" t="s">
        <v>4622</v>
      </c>
      <c r="AM322" t="s">
        <v>4623</v>
      </c>
      <c r="AN322" t="s">
        <v>4624</v>
      </c>
      <c r="AO322" t="s">
        <v>4625</v>
      </c>
      <c r="AP322" t="s">
        <v>74</v>
      </c>
      <c r="AQ322" t="s">
        <v>74</v>
      </c>
      <c r="AR322" t="s">
        <v>4626</v>
      </c>
      <c r="AS322" t="s">
        <v>4627</v>
      </c>
      <c r="AT322" t="s">
        <v>3946</v>
      </c>
      <c r="AU322">
        <v>1998</v>
      </c>
      <c r="AV322">
        <v>11</v>
      </c>
      <c r="AW322">
        <v>4</v>
      </c>
      <c r="AX322" t="s">
        <v>74</v>
      </c>
      <c r="AY322" t="s">
        <v>74</v>
      </c>
      <c r="AZ322" t="s">
        <v>74</v>
      </c>
      <c r="BA322" t="s">
        <v>74</v>
      </c>
      <c r="BB322">
        <v>569</v>
      </c>
      <c r="BC322">
        <v>575</v>
      </c>
      <c r="BD322" t="s">
        <v>74</v>
      </c>
      <c r="BE322" t="s">
        <v>4628</v>
      </c>
      <c r="BF322" t="str">
        <f>HYPERLINK("http://dx.doi.org/10.4006/1.3025337","http://dx.doi.org/10.4006/1.3025337")</f>
        <v>http://dx.doi.org/10.4006/1.3025337</v>
      </c>
      <c r="BG322" t="s">
        <v>74</v>
      </c>
      <c r="BH322" t="s">
        <v>74</v>
      </c>
      <c r="BI322">
        <v>7</v>
      </c>
      <c r="BJ322" t="s">
        <v>4629</v>
      </c>
      <c r="BK322" t="s">
        <v>95</v>
      </c>
      <c r="BL322" t="s">
        <v>4630</v>
      </c>
      <c r="BM322" t="s">
        <v>4631</v>
      </c>
      <c r="BN322" t="s">
        <v>74</v>
      </c>
      <c r="BO322" t="s">
        <v>74</v>
      </c>
      <c r="BP322" t="s">
        <v>74</v>
      </c>
      <c r="BQ322" t="s">
        <v>74</v>
      </c>
      <c r="BR322" t="s">
        <v>98</v>
      </c>
      <c r="BS322" t="s">
        <v>4632</v>
      </c>
      <c r="BT322" t="str">
        <f>HYPERLINK("https%3A%2F%2Fwww.webofscience.com%2Fwos%2Fwoscc%2Ffull-record%2FWOS:000080429700010","View Full Record in Web of Science")</f>
        <v>View Full Record in Web of Science</v>
      </c>
    </row>
    <row r="323" spans="1:72" x14ac:dyDescent="0.15">
      <c r="A323" t="s">
        <v>72</v>
      </c>
      <c r="B323" t="s">
        <v>4633</v>
      </c>
      <c r="C323" t="s">
        <v>74</v>
      </c>
      <c r="D323" t="s">
        <v>74</v>
      </c>
      <c r="E323" t="s">
        <v>74</v>
      </c>
      <c r="F323" t="s">
        <v>4633</v>
      </c>
      <c r="G323" t="s">
        <v>74</v>
      </c>
      <c r="H323" t="s">
        <v>74</v>
      </c>
      <c r="I323" t="s">
        <v>4634</v>
      </c>
      <c r="J323" t="s">
        <v>2603</v>
      </c>
      <c r="K323" t="s">
        <v>74</v>
      </c>
      <c r="L323" t="s">
        <v>74</v>
      </c>
      <c r="M323" t="s">
        <v>77</v>
      </c>
      <c r="N323" t="s">
        <v>103</v>
      </c>
      <c r="O323" t="s">
        <v>74</v>
      </c>
      <c r="P323" t="s">
        <v>74</v>
      </c>
      <c r="Q323" t="s">
        <v>74</v>
      </c>
      <c r="R323" t="s">
        <v>74</v>
      </c>
      <c r="S323" t="s">
        <v>74</v>
      </c>
      <c r="T323" t="s">
        <v>74</v>
      </c>
      <c r="U323" t="s">
        <v>4635</v>
      </c>
      <c r="V323" t="s">
        <v>4636</v>
      </c>
      <c r="W323" t="s">
        <v>4637</v>
      </c>
      <c r="X323" t="s">
        <v>2492</v>
      </c>
      <c r="Y323" t="s">
        <v>4638</v>
      </c>
      <c r="Z323" t="s">
        <v>4639</v>
      </c>
      <c r="AA323" t="s">
        <v>74</v>
      </c>
      <c r="AB323" t="s">
        <v>4640</v>
      </c>
      <c r="AC323" t="s">
        <v>74</v>
      </c>
      <c r="AD323" t="s">
        <v>74</v>
      </c>
      <c r="AE323" t="s">
        <v>74</v>
      </c>
      <c r="AF323" t="s">
        <v>74</v>
      </c>
      <c r="AG323">
        <v>61</v>
      </c>
      <c r="AH323">
        <v>12</v>
      </c>
      <c r="AI323">
        <v>12</v>
      </c>
      <c r="AJ323">
        <v>0</v>
      </c>
      <c r="AK323">
        <v>1</v>
      </c>
      <c r="AL323" t="s">
        <v>805</v>
      </c>
      <c r="AM323" t="s">
        <v>278</v>
      </c>
      <c r="AN323" t="s">
        <v>806</v>
      </c>
      <c r="AO323" t="s">
        <v>2610</v>
      </c>
      <c r="AP323" t="s">
        <v>2611</v>
      </c>
      <c r="AQ323" t="s">
        <v>74</v>
      </c>
      <c r="AR323" t="s">
        <v>2612</v>
      </c>
      <c r="AS323" t="s">
        <v>2613</v>
      </c>
      <c r="AT323" t="s">
        <v>3946</v>
      </c>
      <c r="AU323">
        <v>1998</v>
      </c>
      <c r="AV323">
        <v>20</v>
      </c>
      <c r="AW323">
        <v>6</v>
      </c>
      <c r="AX323" t="s">
        <v>74</v>
      </c>
      <c r="AY323" t="s">
        <v>74</v>
      </c>
      <c r="AZ323" t="s">
        <v>74</v>
      </c>
      <c r="BA323" t="s">
        <v>74</v>
      </c>
      <c r="BB323">
        <v>367</v>
      </c>
      <c r="BC323">
        <v>376</v>
      </c>
      <c r="BD323" t="s">
        <v>74</v>
      </c>
      <c r="BE323" t="s">
        <v>4641</v>
      </c>
      <c r="BF323" t="str">
        <f>HYPERLINK("http://dx.doi.org/10.1007/s003000050316","http://dx.doi.org/10.1007/s003000050316")</f>
        <v>http://dx.doi.org/10.1007/s003000050316</v>
      </c>
      <c r="BG323" t="s">
        <v>74</v>
      </c>
      <c r="BH323" t="s">
        <v>74</v>
      </c>
      <c r="BI323">
        <v>10</v>
      </c>
      <c r="BJ323" t="s">
        <v>2615</v>
      </c>
      <c r="BK323" t="s">
        <v>95</v>
      </c>
      <c r="BL323" t="s">
        <v>2616</v>
      </c>
      <c r="BM323" t="s">
        <v>4642</v>
      </c>
      <c r="BN323" t="s">
        <v>74</v>
      </c>
      <c r="BO323" t="s">
        <v>74</v>
      </c>
      <c r="BP323" t="s">
        <v>74</v>
      </c>
      <c r="BQ323" t="s">
        <v>74</v>
      </c>
      <c r="BR323" t="s">
        <v>98</v>
      </c>
      <c r="BS323" t="s">
        <v>4643</v>
      </c>
      <c r="BT323" t="str">
        <f>HYPERLINK("https%3A%2F%2Fwww.webofscience.com%2Fwos%2Fwoscc%2Ffull-record%2FWOS:000077363400001","View Full Record in Web of Science")</f>
        <v>View Full Record in Web of Science</v>
      </c>
    </row>
    <row r="324" spans="1:72" x14ac:dyDescent="0.15">
      <c r="A324" t="s">
        <v>72</v>
      </c>
      <c r="B324" t="s">
        <v>4644</v>
      </c>
      <c r="C324" t="s">
        <v>74</v>
      </c>
      <c r="D324" t="s">
        <v>74</v>
      </c>
      <c r="E324" t="s">
        <v>74</v>
      </c>
      <c r="F324" t="s">
        <v>4644</v>
      </c>
      <c r="G324" t="s">
        <v>74</v>
      </c>
      <c r="H324" t="s">
        <v>74</v>
      </c>
      <c r="I324" t="s">
        <v>4645</v>
      </c>
      <c r="J324" t="s">
        <v>2603</v>
      </c>
      <c r="K324" t="s">
        <v>74</v>
      </c>
      <c r="L324" t="s">
        <v>74</v>
      </c>
      <c r="M324" t="s">
        <v>77</v>
      </c>
      <c r="N324" t="s">
        <v>103</v>
      </c>
      <c r="O324" t="s">
        <v>74</v>
      </c>
      <c r="P324" t="s">
        <v>74</v>
      </c>
      <c r="Q324" t="s">
        <v>74</v>
      </c>
      <c r="R324" t="s">
        <v>74</v>
      </c>
      <c r="S324" t="s">
        <v>74</v>
      </c>
      <c r="T324" t="s">
        <v>74</v>
      </c>
      <c r="U324" t="s">
        <v>74</v>
      </c>
      <c r="V324" t="s">
        <v>4646</v>
      </c>
      <c r="W324" t="s">
        <v>4647</v>
      </c>
      <c r="X324" t="s">
        <v>4648</v>
      </c>
      <c r="Y324" t="s">
        <v>4649</v>
      </c>
      <c r="Z324" t="s">
        <v>74</v>
      </c>
      <c r="AA324" t="s">
        <v>74</v>
      </c>
      <c r="AB324" t="s">
        <v>4650</v>
      </c>
      <c r="AC324" t="s">
        <v>74</v>
      </c>
      <c r="AD324" t="s">
        <v>74</v>
      </c>
      <c r="AE324" t="s">
        <v>74</v>
      </c>
      <c r="AF324" t="s">
        <v>74</v>
      </c>
      <c r="AG324">
        <v>4</v>
      </c>
      <c r="AH324">
        <v>11</v>
      </c>
      <c r="AI324">
        <v>12</v>
      </c>
      <c r="AJ324">
        <v>0</v>
      </c>
      <c r="AK324">
        <v>3</v>
      </c>
      <c r="AL324" t="s">
        <v>887</v>
      </c>
      <c r="AM324" t="s">
        <v>278</v>
      </c>
      <c r="AN324" t="s">
        <v>888</v>
      </c>
      <c r="AO324" t="s">
        <v>2610</v>
      </c>
      <c r="AP324" t="s">
        <v>74</v>
      </c>
      <c r="AQ324" t="s">
        <v>74</v>
      </c>
      <c r="AR324" t="s">
        <v>2612</v>
      </c>
      <c r="AS324" t="s">
        <v>2613</v>
      </c>
      <c r="AT324" t="s">
        <v>3946</v>
      </c>
      <c r="AU324">
        <v>1998</v>
      </c>
      <c r="AV324">
        <v>20</v>
      </c>
      <c r="AW324">
        <v>6</v>
      </c>
      <c r="AX324" t="s">
        <v>74</v>
      </c>
      <c r="AY324" t="s">
        <v>74</v>
      </c>
      <c r="AZ324" t="s">
        <v>74</v>
      </c>
      <c r="BA324" t="s">
        <v>74</v>
      </c>
      <c r="BB324">
        <v>382</v>
      </c>
      <c r="BC324">
        <v>387</v>
      </c>
      <c r="BD324" t="s">
        <v>74</v>
      </c>
      <c r="BE324" t="s">
        <v>4651</v>
      </c>
      <c r="BF324" t="str">
        <f>HYPERLINK("http://dx.doi.org/10.1007/s003000050318","http://dx.doi.org/10.1007/s003000050318")</f>
        <v>http://dx.doi.org/10.1007/s003000050318</v>
      </c>
      <c r="BG324" t="s">
        <v>74</v>
      </c>
      <c r="BH324" t="s">
        <v>74</v>
      </c>
      <c r="BI324">
        <v>6</v>
      </c>
      <c r="BJ324" t="s">
        <v>2615</v>
      </c>
      <c r="BK324" t="s">
        <v>95</v>
      </c>
      <c r="BL324" t="s">
        <v>2616</v>
      </c>
      <c r="BM324" t="s">
        <v>4642</v>
      </c>
      <c r="BN324" t="s">
        <v>74</v>
      </c>
      <c r="BO324" t="s">
        <v>74</v>
      </c>
      <c r="BP324" t="s">
        <v>74</v>
      </c>
      <c r="BQ324" t="s">
        <v>74</v>
      </c>
      <c r="BR324" t="s">
        <v>98</v>
      </c>
      <c r="BS324" t="s">
        <v>4652</v>
      </c>
      <c r="BT324" t="str">
        <f>HYPERLINK("https%3A%2F%2Fwww.webofscience.com%2Fwos%2Fwoscc%2Ffull-record%2FWOS:000077363400003","View Full Record in Web of Science")</f>
        <v>View Full Record in Web of Science</v>
      </c>
    </row>
    <row r="325" spans="1:72" x14ac:dyDescent="0.15">
      <c r="A325" t="s">
        <v>72</v>
      </c>
      <c r="B325" t="s">
        <v>4653</v>
      </c>
      <c r="C325" t="s">
        <v>74</v>
      </c>
      <c r="D325" t="s">
        <v>74</v>
      </c>
      <c r="E325" t="s">
        <v>74</v>
      </c>
      <c r="F325" t="s">
        <v>4653</v>
      </c>
      <c r="G325" t="s">
        <v>74</v>
      </c>
      <c r="H325" t="s">
        <v>74</v>
      </c>
      <c r="I325" t="s">
        <v>4654</v>
      </c>
      <c r="J325" t="s">
        <v>2603</v>
      </c>
      <c r="K325" t="s">
        <v>74</v>
      </c>
      <c r="L325" t="s">
        <v>74</v>
      </c>
      <c r="M325" t="s">
        <v>77</v>
      </c>
      <c r="N325" t="s">
        <v>103</v>
      </c>
      <c r="O325" t="s">
        <v>74</v>
      </c>
      <c r="P325" t="s">
        <v>74</v>
      </c>
      <c r="Q325" t="s">
        <v>74</v>
      </c>
      <c r="R325" t="s">
        <v>74</v>
      </c>
      <c r="S325" t="s">
        <v>74</v>
      </c>
      <c r="T325" t="s">
        <v>74</v>
      </c>
      <c r="U325" t="s">
        <v>4655</v>
      </c>
      <c r="V325" t="s">
        <v>4656</v>
      </c>
      <c r="W325" t="s">
        <v>4657</v>
      </c>
      <c r="X325" t="s">
        <v>4658</v>
      </c>
      <c r="Y325" t="s">
        <v>4659</v>
      </c>
      <c r="Z325" t="s">
        <v>74</v>
      </c>
      <c r="AA325" t="s">
        <v>74</v>
      </c>
      <c r="AB325" t="s">
        <v>74</v>
      </c>
      <c r="AC325" t="s">
        <v>74</v>
      </c>
      <c r="AD325" t="s">
        <v>74</v>
      </c>
      <c r="AE325" t="s">
        <v>74</v>
      </c>
      <c r="AF325" t="s">
        <v>74</v>
      </c>
      <c r="AG325">
        <v>36</v>
      </c>
      <c r="AH325">
        <v>25</v>
      </c>
      <c r="AI325">
        <v>28</v>
      </c>
      <c r="AJ325">
        <v>1</v>
      </c>
      <c r="AK325">
        <v>14</v>
      </c>
      <c r="AL325" t="s">
        <v>887</v>
      </c>
      <c r="AM325" t="s">
        <v>278</v>
      </c>
      <c r="AN325" t="s">
        <v>888</v>
      </c>
      <c r="AO325" t="s">
        <v>2610</v>
      </c>
      <c r="AP325" t="s">
        <v>74</v>
      </c>
      <c r="AQ325" t="s">
        <v>74</v>
      </c>
      <c r="AR325" t="s">
        <v>2612</v>
      </c>
      <c r="AS325" t="s">
        <v>2613</v>
      </c>
      <c r="AT325" t="s">
        <v>3946</v>
      </c>
      <c r="AU325">
        <v>1998</v>
      </c>
      <c r="AV325">
        <v>20</v>
      </c>
      <c r="AW325">
        <v>6</v>
      </c>
      <c r="AX325" t="s">
        <v>74</v>
      </c>
      <c r="AY325" t="s">
        <v>74</v>
      </c>
      <c r="AZ325" t="s">
        <v>74</v>
      </c>
      <c r="BA325" t="s">
        <v>74</v>
      </c>
      <c r="BB325">
        <v>404</v>
      </c>
      <c r="BC325">
        <v>408</v>
      </c>
      <c r="BD325" t="s">
        <v>74</v>
      </c>
      <c r="BE325" t="s">
        <v>4660</v>
      </c>
      <c r="BF325" t="str">
        <f>HYPERLINK("http://dx.doi.org/10.1007/s003000050321","http://dx.doi.org/10.1007/s003000050321")</f>
        <v>http://dx.doi.org/10.1007/s003000050321</v>
      </c>
      <c r="BG325" t="s">
        <v>74</v>
      </c>
      <c r="BH325" t="s">
        <v>74</v>
      </c>
      <c r="BI325">
        <v>5</v>
      </c>
      <c r="BJ325" t="s">
        <v>2615</v>
      </c>
      <c r="BK325" t="s">
        <v>95</v>
      </c>
      <c r="BL325" t="s">
        <v>2616</v>
      </c>
      <c r="BM325" t="s">
        <v>4642</v>
      </c>
      <c r="BN325" t="s">
        <v>74</v>
      </c>
      <c r="BO325" t="s">
        <v>74</v>
      </c>
      <c r="BP325" t="s">
        <v>74</v>
      </c>
      <c r="BQ325" t="s">
        <v>74</v>
      </c>
      <c r="BR325" t="s">
        <v>98</v>
      </c>
      <c r="BS325" t="s">
        <v>4661</v>
      </c>
      <c r="BT325" t="str">
        <f>HYPERLINK("https%3A%2F%2Fwww.webofscience.com%2Fwos%2Fwoscc%2Ffull-record%2FWOS:000077363400006","View Full Record in Web of Science")</f>
        <v>View Full Record in Web of Science</v>
      </c>
    </row>
    <row r="326" spans="1:72" x14ac:dyDescent="0.15">
      <c r="A326" t="s">
        <v>72</v>
      </c>
      <c r="B326" t="s">
        <v>4662</v>
      </c>
      <c r="C326" t="s">
        <v>74</v>
      </c>
      <c r="D326" t="s">
        <v>74</v>
      </c>
      <c r="E326" t="s">
        <v>74</v>
      </c>
      <c r="F326" t="s">
        <v>4662</v>
      </c>
      <c r="G326" t="s">
        <v>74</v>
      </c>
      <c r="H326" t="s">
        <v>74</v>
      </c>
      <c r="I326" t="s">
        <v>4663</v>
      </c>
      <c r="J326" t="s">
        <v>2603</v>
      </c>
      <c r="K326" t="s">
        <v>74</v>
      </c>
      <c r="L326" t="s">
        <v>74</v>
      </c>
      <c r="M326" t="s">
        <v>77</v>
      </c>
      <c r="N326" t="s">
        <v>103</v>
      </c>
      <c r="O326" t="s">
        <v>74</v>
      </c>
      <c r="P326" t="s">
        <v>74</v>
      </c>
      <c r="Q326" t="s">
        <v>74</v>
      </c>
      <c r="R326" t="s">
        <v>74</v>
      </c>
      <c r="S326" t="s">
        <v>74</v>
      </c>
      <c r="T326" t="s">
        <v>74</v>
      </c>
      <c r="U326" t="s">
        <v>4664</v>
      </c>
      <c r="V326" t="s">
        <v>4665</v>
      </c>
      <c r="W326" t="s">
        <v>4666</v>
      </c>
      <c r="X326" t="s">
        <v>628</v>
      </c>
      <c r="Y326" t="s">
        <v>4667</v>
      </c>
      <c r="Z326" t="s">
        <v>4668</v>
      </c>
      <c r="AA326" t="s">
        <v>74</v>
      </c>
      <c r="AB326" t="s">
        <v>74</v>
      </c>
      <c r="AC326" t="s">
        <v>74</v>
      </c>
      <c r="AD326" t="s">
        <v>74</v>
      </c>
      <c r="AE326" t="s">
        <v>74</v>
      </c>
      <c r="AF326" t="s">
        <v>74</v>
      </c>
      <c r="AG326">
        <v>48</v>
      </c>
      <c r="AH326">
        <v>23</v>
      </c>
      <c r="AI326">
        <v>25</v>
      </c>
      <c r="AJ326">
        <v>0</v>
      </c>
      <c r="AK326">
        <v>11</v>
      </c>
      <c r="AL326" t="s">
        <v>887</v>
      </c>
      <c r="AM326" t="s">
        <v>278</v>
      </c>
      <c r="AN326" t="s">
        <v>888</v>
      </c>
      <c r="AO326" t="s">
        <v>2610</v>
      </c>
      <c r="AP326" t="s">
        <v>74</v>
      </c>
      <c r="AQ326" t="s">
        <v>74</v>
      </c>
      <c r="AR326" t="s">
        <v>2612</v>
      </c>
      <c r="AS326" t="s">
        <v>2613</v>
      </c>
      <c r="AT326" t="s">
        <v>3946</v>
      </c>
      <c r="AU326">
        <v>1998</v>
      </c>
      <c r="AV326">
        <v>20</v>
      </c>
      <c r="AW326">
        <v>6</v>
      </c>
      <c r="AX326" t="s">
        <v>74</v>
      </c>
      <c r="AY326" t="s">
        <v>74</v>
      </c>
      <c r="AZ326" t="s">
        <v>74</v>
      </c>
      <c r="BA326" t="s">
        <v>74</v>
      </c>
      <c r="BB326">
        <v>414</v>
      </c>
      <c r="BC326">
        <v>423</v>
      </c>
      <c r="BD326" t="s">
        <v>74</v>
      </c>
      <c r="BE326" t="s">
        <v>4669</v>
      </c>
      <c r="BF326" t="str">
        <f>HYPERLINK("http://dx.doi.org/10.1007/s003000050323","http://dx.doi.org/10.1007/s003000050323")</f>
        <v>http://dx.doi.org/10.1007/s003000050323</v>
      </c>
      <c r="BG326" t="s">
        <v>74</v>
      </c>
      <c r="BH326" t="s">
        <v>74</v>
      </c>
      <c r="BI326">
        <v>10</v>
      </c>
      <c r="BJ326" t="s">
        <v>2615</v>
      </c>
      <c r="BK326" t="s">
        <v>95</v>
      </c>
      <c r="BL326" t="s">
        <v>2616</v>
      </c>
      <c r="BM326" t="s">
        <v>4642</v>
      </c>
      <c r="BN326" t="s">
        <v>74</v>
      </c>
      <c r="BO326" t="s">
        <v>74</v>
      </c>
      <c r="BP326" t="s">
        <v>74</v>
      </c>
      <c r="BQ326" t="s">
        <v>74</v>
      </c>
      <c r="BR326" t="s">
        <v>98</v>
      </c>
      <c r="BS326" t="s">
        <v>4670</v>
      </c>
      <c r="BT326" t="str">
        <f>HYPERLINK("https%3A%2F%2Fwww.webofscience.com%2Fwos%2Fwoscc%2Ffull-record%2FWOS:000077363400008","View Full Record in Web of Science")</f>
        <v>View Full Record in Web of Science</v>
      </c>
    </row>
    <row r="327" spans="1:72" x14ac:dyDescent="0.15">
      <c r="A327" t="s">
        <v>72</v>
      </c>
      <c r="B327" t="s">
        <v>4671</v>
      </c>
      <c r="C327" t="s">
        <v>74</v>
      </c>
      <c r="D327" t="s">
        <v>74</v>
      </c>
      <c r="E327" t="s">
        <v>74</v>
      </c>
      <c r="F327" t="s">
        <v>4671</v>
      </c>
      <c r="G327" t="s">
        <v>74</v>
      </c>
      <c r="H327" t="s">
        <v>74</v>
      </c>
      <c r="I327" t="s">
        <v>4672</v>
      </c>
      <c r="J327" t="s">
        <v>2603</v>
      </c>
      <c r="K327" t="s">
        <v>74</v>
      </c>
      <c r="L327" t="s">
        <v>74</v>
      </c>
      <c r="M327" t="s">
        <v>77</v>
      </c>
      <c r="N327" t="s">
        <v>103</v>
      </c>
      <c r="O327" t="s">
        <v>74</v>
      </c>
      <c r="P327" t="s">
        <v>74</v>
      </c>
      <c r="Q327" t="s">
        <v>74</v>
      </c>
      <c r="R327" t="s">
        <v>74</v>
      </c>
      <c r="S327" t="s">
        <v>74</v>
      </c>
      <c r="T327" t="s">
        <v>74</v>
      </c>
      <c r="U327" t="s">
        <v>4673</v>
      </c>
      <c r="V327" t="s">
        <v>4674</v>
      </c>
      <c r="W327" t="s">
        <v>4675</v>
      </c>
      <c r="X327" t="s">
        <v>4676</v>
      </c>
      <c r="Y327" t="s">
        <v>4677</v>
      </c>
      <c r="Z327" t="s">
        <v>74</v>
      </c>
      <c r="AA327" t="s">
        <v>74</v>
      </c>
      <c r="AB327" t="s">
        <v>74</v>
      </c>
      <c r="AC327" t="s">
        <v>74</v>
      </c>
      <c r="AD327" t="s">
        <v>74</v>
      </c>
      <c r="AE327" t="s">
        <v>74</v>
      </c>
      <c r="AF327" t="s">
        <v>74</v>
      </c>
      <c r="AG327">
        <v>25</v>
      </c>
      <c r="AH327">
        <v>44</v>
      </c>
      <c r="AI327">
        <v>49</v>
      </c>
      <c r="AJ327">
        <v>0</v>
      </c>
      <c r="AK327">
        <v>8</v>
      </c>
      <c r="AL327" t="s">
        <v>887</v>
      </c>
      <c r="AM327" t="s">
        <v>278</v>
      </c>
      <c r="AN327" t="s">
        <v>888</v>
      </c>
      <c r="AO327" t="s">
        <v>2610</v>
      </c>
      <c r="AP327" t="s">
        <v>74</v>
      </c>
      <c r="AQ327" t="s">
        <v>74</v>
      </c>
      <c r="AR327" t="s">
        <v>2612</v>
      </c>
      <c r="AS327" t="s">
        <v>2613</v>
      </c>
      <c r="AT327" t="s">
        <v>3946</v>
      </c>
      <c r="AU327">
        <v>1998</v>
      </c>
      <c r="AV327">
        <v>20</v>
      </c>
      <c r="AW327">
        <v>6</v>
      </c>
      <c r="AX327" t="s">
        <v>74</v>
      </c>
      <c r="AY327" t="s">
        <v>74</v>
      </c>
      <c r="AZ327" t="s">
        <v>74</v>
      </c>
      <c r="BA327" t="s">
        <v>74</v>
      </c>
      <c r="BB327">
        <v>424</v>
      </c>
      <c r="BC327">
        <v>428</v>
      </c>
      <c r="BD327" t="s">
        <v>74</v>
      </c>
      <c r="BE327" t="s">
        <v>4678</v>
      </c>
      <c r="BF327" t="str">
        <f>HYPERLINK("http://dx.doi.org/10.1007/s003000050324","http://dx.doi.org/10.1007/s003000050324")</f>
        <v>http://dx.doi.org/10.1007/s003000050324</v>
      </c>
      <c r="BG327" t="s">
        <v>74</v>
      </c>
      <c r="BH327" t="s">
        <v>74</v>
      </c>
      <c r="BI327">
        <v>5</v>
      </c>
      <c r="BJ327" t="s">
        <v>2615</v>
      </c>
      <c r="BK327" t="s">
        <v>95</v>
      </c>
      <c r="BL327" t="s">
        <v>2616</v>
      </c>
      <c r="BM327" t="s">
        <v>4642</v>
      </c>
      <c r="BN327" t="s">
        <v>74</v>
      </c>
      <c r="BO327" t="s">
        <v>74</v>
      </c>
      <c r="BP327" t="s">
        <v>74</v>
      </c>
      <c r="BQ327" t="s">
        <v>74</v>
      </c>
      <c r="BR327" t="s">
        <v>98</v>
      </c>
      <c r="BS327" t="s">
        <v>4679</v>
      </c>
      <c r="BT327" t="str">
        <f>HYPERLINK("https%3A%2F%2Fwww.webofscience.com%2Fwos%2Fwoscc%2Ffull-record%2FWOS:000077363400009","View Full Record in Web of Science")</f>
        <v>View Full Record in Web of Science</v>
      </c>
    </row>
    <row r="328" spans="1:72" x14ac:dyDescent="0.15">
      <c r="A328" t="s">
        <v>72</v>
      </c>
      <c r="B328" t="s">
        <v>4680</v>
      </c>
      <c r="C328" t="s">
        <v>74</v>
      </c>
      <c r="D328" t="s">
        <v>74</v>
      </c>
      <c r="E328" t="s">
        <v>74</v>
      </c>
      <c r="F328" t="s">
        <v>4680</v>
      </c>
      <c r="G328" t="s">
        <v>74</v>
      </c>
      <c r="H328" t="s">
        <v>74</v>
      </c>
      <c r="I328" t="s">
        <v>4681</v>
      </c>
      <c r="J328" t="s">
        <v>2666</v>
      </c>
      <c r="K328" t="s">
        <v>74</v>
      </c>
      <c r="L328" t="s">
        <v>74</v>
      </c>
      <c r="M328" t="s">
        <v>77</v>
      </c>
      <c r="N328" t="s">
        <v>103</v>
      </c>
      <c r="O328" t="s">
        <v>74</v>
      </c>
      <c r="P328" t="s">
        <v>74</v>
      </c>
      <c r="Q328" t="s">
        <v>74</v>
      </c>
      <c r="R328" t="s">
        <v>74</v>
      </c>
      <c r="S328" t="s">
        <v>74</v>
      </c>
      <c r="T328" t="s">
        <v>74</v>
      </c>
      <c r="U328" t="s">
        <v>4682</v>
      </c>
      <c r="V328" t="s">
        <v>4683</v>
      </c>
      <c r="W328" t="s">
        <v>4684</v>
      </c>
      <c r="X328" t="s">
        <v>4685</v>
      </c>
      <c r="Y328" t="s">
        <v>4686</v>
      </c>
      <c r="Z328" t="s">
        <v>74</v>
      </c>
      <c r="AA328" t="s">
        <v>74</v>
      </c>
      <c r="AB328" t="s">
        <v>4687</v>
      </c>
      <c r="AC328" t="s">
        <v>74</v>
      </c>
      <c r="AD328" t="s">
        <v>74</v>
      </c>
      <c r="AE328" t="s">
        <v>74</v>
      </c>
      <c r="AF328" t="s">
        <v>74</v>
      </c>
      <c r="AG328">
        <v>83</v>
      </c>
      <c r="AH328">
        <v>34</v>
      </c>
      <c r="AI328">
        <v>37</v>
      </c>
      <c r="AJ328">
        <v>0</v>
      </c>
      <c r="AK328">
        <v>7</v>
      </c>
      <c r="AL328" t="s">
        <v>2811</v>
      </c>
      <c r="AM328" t="s">
        <v>2812</v>
      </c>
      <c r="AN328" t="s">
        <v>2813</v>
      </c>
      <c r="AO328" t="s">
        <v>2672</v>
      </c>
      <c r="AP328" t="s">
        <v>74</v>
      </c>
      <c r="AQ328" t="s">
        <v>74</v>
      </c>
      <c r="AR328" t="s">
        <v>2673</v>
      </c>
      <c r="AS328" t="s">
        <v>2674</v>
      </c>
      <c r="AT328" t="s">
        <v>3946</v>
      </c>
      <c r="AU328">
        <v>1998</v>
      </c>
      <c r="AV328">
        <v>17</v>
      </c>
      <c r="AW328">
        <v>2</v>
      </c>
      <c r="AX328" t="s">
        <v>74</v>
      </c>
      <c r="AY328" t="s">
        <v>74</v>
      </c>
      <c r="AZ328" t="s">
        <v>74</v>
      </c>
      <c r="BA328" t="s">
        <v>74</v>
      </c>
      <c r="BB328">
        <v>203</v>
      </c>
      <c r="BC328">
        <v>216</v>
      </c>
      <c r="BD328" t="s">
        <v>74</v>
      </c>
      <c r="BE328" t="s">
        <v>4688</v>
      </c>
      <c r="BF328" t="str">
        <f>HYPERLINK("http://dx.doi.org/10.1111/j.1751-8369.1998.tb00272.x","http://dx.doi.org/10.1111/j.1751-8369.1998.tb00272.x")</f>
        <v>http://dx.doi.org/10.1111/j.1751-8369.1998.tb00272.x</v>
      </c>
      <c r="BG328" t="s">
        <v>74</v>
      </c>
      <c r="BH328" t="s">
        <v>74</v>
      </c>
      <c r="BI328">
        <v>14</v>
      </c>
      <c r="BJ328" t="s">
        <v>2676</v>
      </c>
      <c r="BK328" t="s">
        <v>95</v>
      </c>
      <c r="BL328" t="s">
        <v>2677</v>
      </c>
      <c r="BM328" t="s">
        <v>4689</v>
      </c>
      <c r="BN328" t="s">
        <v>74</v>
      </c>
      <c r="BO328" t="s">
        <v>74</v>
      </c>
      <c r="BP328" t="s">
        <v>74</v>
      </c>
      <c r="BQ328" t="s">
        <v>74</v>
      </c>
      <c r="BR328" t="s">
        <v>98</v>
      </c>
      <c r="BS328" t="s">
        <v>4690</v>
      </c>
      <c r="BT328" t="str">
        <f>HYPERLINK("https%3A%2F%2Fwww.webofscience.com%2Fwos%2Fwoscc%2Ffull-record%2FWOS:000079027200007","View Full Record in Web of Science")</f>
        <v>View Full Record in Web of Science</v>
      </c>
    </row>
    <row r="329" spans="1:72" x14ac:dyDescent="0.15">
      <c r="A329" t="s">
        <v>72</v>
      </c>
      <c r="B329" t="s">
        <v>4691</v>
      </c>
      <c r="C329" t="s">
        <v>74</v>
      </c>
      <c r="D329" t="s">
        <v>74</v>
      </c>
      <c r="E329" t="s">
        <v>74</v>
      </c>
      <c r="F329" t="s">
        <v>4691</v>
      </c>
      <c r="G329" t="s">
        <v>74</v>
      </c>
      <c r="H329" t="s">
        <v>74</v>
      </c>
      <c r="I329" t="s">
        <v>4692</v>
      </c>
      <c r="J329" t="s">
        <v>4693</v>
      </c>
      <c r="K329" t="s">
        <v>74</v>
      </c>
      <c r="L329" t="s">
        <v>74</v>
      </c>
      <c r="M329" t="s">
        <v>77</v>
      </c>
      <c r="N329" t="s">
        <v>103</v>
      </c>
      <c r="O329" t="s">
        <v>74</v>
      </c>
      <c r="P329" t="s">
        <v>74</v>
      </c>
      <c r="Q329" t="s">
        <v>74</v>
      </c>
      <c r="R329" t="s">
        <v>74</v>
      </c>
      <c r="S329" t="s">
        <v>74</v>
      </c>
      <c r="T329" t="s">
        <v>4694</v>
      </c>
      <c r="U329" t="s">
        <v>4695</v>
      </c>
      <c r="V329" t="s">
        <v>4696</v>
      </c>
      <c r="W329" t="s">
        <v>4697</v>
      </c>
      <c r="X329" t="s">
        <v>4698</v>
      </c>
      <c r="Y329" t="s">
        <v>4699</v>
      </c>
      <c r="Z329" t="s">
        <v>4700</v>
      </c>
      <c r="AA329" t="s">
        <v>74</v>
      </c>
      <c r="AB329" t="s">
        <v>74</v>
      </c>
      <c r="AC329" t="s">
        <v>74</v>
      </c>
      <c r="AD329" t="s">
        <v>74</v>
      </c>
      <c r="AE329" t="s">
        <v>74</v>
      </c>
      <c r="AF329" t="s">
        <v>74</v>
      </c>
      <c r="AG329">
        <v>82</v>
      </c>
      <c r="AH329">
        <v>1</v>
      </c>
      <c r="AI329">
        <v>2</v>
      </c>
      <c r="AJ329">
        <v>1</v>
      </c>
      <c r="AK329">
        <v>31</v>
      </c>
      <c r="AL329" t="s">
        <v>4701</v>
      </c>
      <c r="AM329" t="s">
        <v>4702</v>
      </c>
      <c r="AN329" t="s">
        <v>4703</v>
      </c>
      <c r="AO329" t="s">
        <v>4704</v>
      </c>
      <c r="AP329" t="s">
        <v>74</v>
      </c>
      <c r="AQ329" t="s">
        <v>74</v>
      </c>
      <c r="AR329" t="s">
        <v>4705</v>
      </c>
      <c r="AS329" t="s">
        <v>4706</v>
      </c>
      <c r="AT329" t="s">
        <v>3946</v>
      </c>
      <c r="AU329">
        <v>1998</v>
      </c>
      <c r="AV329">
        <v>107</v>
      </c>
      <c r="AW329">
        <v>4</v>
      </c>
      <c r="AX329" t="s">
        <v>74</v>
      </c>
      <c r="AY329" t="s">
        <v>74</v>
      </c>
      <c r="AZ329" t="s">
        <v>74</v>
      </c>
      <c r="BA329" t="s">
        <v>74</v>
      </c>
      <c r="BB329">
        <v>307</v>
      </c>
      <c r="BC329">
        <v>319</v>
      </c>
      <c r="BD329" t="s">
        <v>74</v>
      </c>
      <c r="BE329" t="s">
        <v>74</v>
      </c>
      <c r="BF329" t="s">
        <v>74</v>
      </c>
      <c r="BG329" t="s">
        <v>74</v>
      </c>
      <c r="BH329" t="s">
        <v>74</v>
      </c>
      <c r="BI329">
        <v>13</v>
      </c>
      <c r="BJ329" t="s">
        <v>192</v>
      </c>
      <c r="BK329" t="s">
        <v>95</v>
      </c>
      <c r="BL329" t="s">
        <v>193</v>
      </c>
      <c r="BM329" t="s">
        <v>4707</v>
      </c>
      <c r="BN329" t="s">
        <v>74</v>
      </c>
      <c r="BO329" t="s">
        <v>74</v>
      </c>
      <c r="BP329" t="s">
        <v>74</v>
      </c>
      <c r="BQ329" t="s">
        <v>74</v>
      </c>
      <c r="BR329" t="s">
        <v>98</v>
      </c>
      <c r="BS329" t="s">
        <v>4708</v>
      </c>
      <c r="BT329" t="str">
        <f>HYPERLINK("https%3A%2F%2Fwww.webofscience.com%2Fwos%2Fwoscc%2Ffull-record%2FWOS:000079181800008","View Full Record in Web of Science")</f>
        <v>View Full Record in Web of Science</v>
      </c>
    </row>
    <row r="330" spans="1:72" x14ac:dyDescent="0.15">
      <c r="A330" t="s">
        <v>72</v>
      </c>
      <c r="B330" t="s">
        <v>4709</v>
      </c>
      <c r="C330" t="s">
        <v>74</v>
      </c>
      <c r="D330" t="s">
        <v>74</v>
      </c>
      <c r="E330" t="s">
        <v>74</v>
      </c>
      <c r="F330" t="s">
        <v>4709</v>
      </c>
      <c r="G330" t="s">
        <v>74</v>
      </c>
      <c r="H330" t="s">
        <v>74</v>
      </c>
      <c r="I330" t="s">
        <v>4710</v>
      </c>
      <c r="J330" t="s">
        <v>4711</v>
      </c>
      <c r="K330" t="s">
        <v>74</v>
      </c>
      <c r="L330" t="s">
        <v>74</v>
      </c>
      <c r="M330" t="s">
        <v>77</v>
      </c>
      <c r="N330" t="s">
        <v>78</v>
      </c>
      <c r="O330" t="s">
        <v>74</v>
      </c>
      <c r="P330" t="s">
        <v>74</v>
      </c>
      <c r="Q330" t="s">
        <v>74</v>
      </c>
      <c r="R330" t="s">
        <v>74</v>
      </c>
      <c r="S330" t="s">
        <v>74</v>
      </c>
      <c r="T330" t="s">
        <v>4712</v>
      </c>
      <c r="U330" t="s">
        <v>4713</v>
      </c>
      <c r="V330" t="s">
        <v>4714</v>
      </c>
      <c r="W330" t="s">
        <v>4715</v>
      </c>
      <c r="X330" t="s">
        <v>4716</v>
      </c>
      <c r="Y330" t="s">
        <v>4717</v>
      </c>
      <c r="Z330" t="s">
        <v>4718</v>
      </c>
      <c r="AA330" t="s">
        <v>74</v>
      </c>
      <c r="AB330" t="s">
        <v>4719</v>
      </c>
      <c r="AC330" t="s">
        <v>74</v>
      </c>
      <c r="AD330" t="s">
        <v>74</v>
      </c>
      <c r="AE330" t="s">
        <v>74</v>
      </c>
      <c r="AF330" t="s">
        <v>74</v>
      </c>
      <c r="AG330">
        <v>156</v>
      </c>
      <c r="AH330">
        <v>253</v>
      </c>
      <c r="AI330">
        <v>284</v>
      </c>
      <c r="AJ330">
        <v>3</v>
      </c>
      <c r="AK330">
        <v>141</v>
      </c>
      <c r="AL330" t="s">
        <v>805</v>
      </c>
      <c r="AM330" t="s">
        <v>866</v>
      </c>
      <c r="AN330" t="s">
        <v>867</v>
      </c>
      <c r="AO330" t="s">
        <v>4720</v>
      </c>
      <c r="AP330" t="s">
        <v>4721</v>
      </c>
      <c r="AQ330" t="s">
        <v>74</v>
      </c>
      <c r="AR330" t="s">
        <v>4722</v>
      </c>
      <c r="AS330" t="s">
        <v>4723</v>
      </c>
      <c r="AT330" t="s">
        <v>3946</v>
      </c>
      <c r="AU330">
        <v>1998</v>
      </c>
      <c r="AV330">
        <v>8</v>
      </c>
      <c r="AW330">
        <v>4</v>
      </c>
      <c r="AX330" t="s">
        <v>74</v>
      </c>
      <c r="AY330" t="s">
        <v>74</v>
      </c>
      <c r="AZ330" t="s">
        <v>74</v>
      </c>
      <c r="BA330" t="s">
        <v>74</v>
      </c>
      <c r="BB330">
        <v>373</v>
      </c>
      <c r="BC330">
        <v>408</v>
      </c>
      <c r="BD330" t="s">
        <v>74</v>
      </c>
      <c r="BE330" t="s">
        <v>4724</v>
      </c>
      <c r="BF330" t="str">
        <f>HYPERLINK("http://dx.doi.org/10.1023/A:1008839605380","http://dx.doi.org/10.1023/A:1008839605380")</f>
        <v>http://dx.doi.org/10.1023/A:1008839605380</v>
      </c>
      <c r="BG330" t="s">
        <v>74</v>
      </c>
      <c r="BH330" t="s">
        <v>74</v>
      </c>
      <c r="BI330">
        <v>36</v>
      </c>
      <c r="BJ330" t="s">
        <v>1445</v>
      </c>
      <c r="BK330" t="s">
        <v>95</v>
      </c>
      <c r="BL330" t="s">
        <v>1445</v>
      </c>
      <c r="BM330" t="s">
        <v>4725</v>
      </c>
      <c r="BN330" t="s">
        <v>74</v>
      </c>
      <c r="BO330" t="s">
        <v>74</v>
      </c>
      <c r="BP330" t="s">
        <v>74</v>
      </c>
      <c r="BQ330" t="s">
        <v>74</v>
      </c>
      <c r="BR330" t="s">
        <v>98</v>
      </c>
      <c r="BS330" t="s">
        <v>4726</v>
      </c>
      <c r="BT330" t="str">
        <f>HYPERLINK("https%3A%2F%2Fwww.webofscience.com%2Fwos%2Fwoscc%2Ffull-record%2FWOS:000078348100001","View Full Record in Web of Science")</f>
        <v>View Full Record in Web of Science</v>
      </c>
    </row>
    <row r="331" spans="1:72" x14ac:dyDescent="0.15">
      <c r="A331" t="s">
        <v>72</v>
      </c>
      <c r="B331" t="s">
        <v>4727</v>
      </c>
      <c r="C331" t="s">
        <v>74</v>
      </c>
      <c r="D331" t="s">
        <v>74</v>
      </c>
      <c r="E331" t="s">
        <v>74</v>
      </c>
      <c r="F331" t="s">
        <v>4727</v>
      </c>
      <c r="G331" t="s">
        <v>74</v>
      </c>
      <c r="H331" t="s">
        <v>74</v>
      </c>
      <c r="I331" t="s">
        <v>4728</v>
      </c>
      <c r="J331" t="s">
        <v>4711</v>
      </c>
      <c r="K331" t="s">
        <v>74</v>
      </c>
      <c r="L331" t="s">
        <v>74</v>
      </c>
      <c r="M331" t="s">
        <v>77</v>
      </c>
      <c r="N331" t="s">
        <v>103</v>
      </c>
      <c r="O331" t="s">
        <v>74</v>
      </c>
      <c r="P331" t="s">
        <v>74</v>
      </c>
      <c r="Q331" t="s">
        <v>74</v>
      </c>
      <c r="R331" t="s">
        <v>74</v>
      </c>
      <c r="S331" t="s">
        <v>74</v>
      </c>
      <c r="T331" t="s">
        <v>4729</v>
      </c>
      <c r="U331" t="s">
        <v>74</v>
      </c>
      <c r="V331" t="s">
        <v>4730</v>
      </c>
      <c r="W331" t="s">
        <v>4731</v>
      </c>
      <c r="X331" t="s">
        <v>4732</v>
      </c>
      <c r="Y331" t="s">
        <v>4733</v>
      </c>
      <c r="Z331" t="s">
        <v>74</v>
      </c>
      <c r="AA331" t="s">
        <v>74</v>
      </c>
      <c r="AB331" t="s">
        <v>74</v>
      </c>
      <c r="AC331" t="s">
        <v>74</v>
      </c>
      <c r="AD331" t="s">
        <v>74</v>
      </c>
      <c r="AE331" t="s">
        <v>74</v>
      </c>
      <c r="AF331" t="s">
        <v>74</v>
      </c>
      <c r="AG331">
        <v>21</v>
      </c>
      <c r="AH331">
        <v>181</v>
      </c>
      <c r="AI331">
        <v>209</v>
      </c>
      <c r="AJ331">
        <v>4</v>
      </c>
      <c r="AK331">
        <v>53</v>
      </c>
      <c r="AL331" t="s">
        <v>1368</v>
      </c>
      <c r="AM331" t="s">
        <v>866</v>
      </c>
      <c r="AN331" t="s">
        <v>1369</v>
      </c>
      <c r="AO331" t="s">
        <v>4720</v>
      </c>
      <c r="AP331" t="s">
        <v>74</v>
      </c>
      <c r="AQ331" t="s">
        <v>74</v>
      </c>
      <c r="AR331" t="s">
        <v>4722</v>
      </c>
      <c r="AS331" t="s">
        <v>4723</v>
      </c>
      <c r="AT331" t="s">
        <v>3946</v>
      </c>
      <c r="AU331">
        <v>1998</v>
      </c>
      <c r="AV331">
        <v>8</v>
      </c>
      <c r="AW331">
        <v>4</v>
      </c>
      <c r="AX331" t="s">
        <v>74</v>
      </c>
      <c r="AY331" t="s">
        <v>74</v>
      </c>
      <c r="AZ331" t="s">
        <v>74</v>
      </c>
      <c r="BA331" t="s">
        <v>74</v>
      </c>
      <c r="BB331">
        <v>431</v>
      </c>
      <c r="BC331">
        <v>444</v>
      </c>
      <c r="BD331" t="s">
        <v>74</v>
      </c>
      <c r="BE331" t="s">
        <v>4734</v>
      </c>
      <c r="BF331" t="str">
        <f>HYPERLINK("http://dx.doi.org/10.1023/A:1008807129366","http://dx.doi.org/10.1023/A:1008807129366")</f>
        <v>http://dx.doi.org/10.1023/A:1008807129366</v>
      </c>
      <c r="BG331" t="s">
        <v>74</v>
      </c>
      <c r="BH331" t="s">
        <v>74</v>
      </c>
      <c r="BI331">
        <v>14</v>
      </c>
      <c r="BJ331" t="s">
        <v>1445</v>
      </c>
      <c r="BK331" t="s">
        <v>95</v>
      </c>
      <c r="BL331" t="s">
        <v>1445</v>
      </c>
      <c r="BM331" t="s">
        <v>4725</v>
      </c>
      <c r="BN331" t="s">
        <v>74</v>
      </c>
      <c r="BO331" t="s">
        <v>74</v>
      </c>
      <c r="BP331" t="s">
        <v>74</v>
      </c>
      <c r="BQ331" t="s">
        <v>74</v>
      </c>
      <c r="BR331" t="s">
        <v>98</v>
      </c>
      <c r="BS331" t="s">
        <v>4735</v>
      </c>
      <c r="BT331" t="str">
        <f>HYPERLINK("https%3A%2F%2Fwww.webofscience.com%2Fwos%2Fwoscc%2Ffull-record%2FWOS:000078348100003","View Full Record in Web of Science")</f>
        <v>View Full Record in Web of Science</v>
      </c>
    </row>
    <row r="332" spans="1:72" x14ac:dyDescent="0.15">
      <c r="A332" t="s">
        <v>72</v>
      </c>
      <c r="B332" t="s">
        <v>4736</v>
      </c>
      <c r="C332" t="s">
        <v>74</v>
      </c>
      <c r="D332" t="s">
        <v>74</v>
      </c>
      <c r="E332" t="s">
        <v>74</v>
      </c>
      <c r="F332" t="s">
        <v>4736</v>
      </c>
      <c r="G332" t="s">
        <v>74</v>
      </c>
      <c r="H332" t="s">
        <v>74</v>
      </c>
      <c r="I332" t="s">
        <v>4737</v>
      </c>
      <c r="J332" t="s">
        <v>4738</v>
      </c>
      <c r="K332" t="s">
        <v>74</v>
      </c>
      <c r="L332" t="s">
        <v>74</v>
      </c>
      <c r="M332" t="s">
        <v>77</v>
      </c>
      <c r="N332" t="s">
        <v>103</v>
      </c>
      <c r="O332" t="s">
        <v>74</v>
      </c>
      <c r="P332" t="s">
        <v>74</v>
      </c>
      <c r="Q332" t="s">
        <v>74</v>
      </c>
      <c r="R332" t="s">
        <v>74</v>
      </c>
      <c r="S332" t="s">
        <v>74</v>
      </c>
      <c r="T332" t="s">
        <v>74</v>
      </c>
      <c r="U332" t="s">
        <v>4739</v>
      </c>
      <c r="V332" t="s">
        <v>4740</v>
      </c>
      <c r="W332" t="s">
        <v>4741</v>
      </c>
      <c r="X332" t="s">
        <v>4742</v>
      </c>
      <c r="Y332" t="s">
        <v>545</v>
      </c>
      <c r="Z332" t="s">
        <v>74</v>
      </c>
      <c r="AA332" t="s">
        <v>74</v>
      </c>
      <c r="AB332" t="s">
        <v>74</v>
      </c>
      <c r="AC332" t="s">
        <v>74</v>
      </c>
      <c r="AD332" t="s">
        <v>74</v>
      </c>
      <c r="AE332" t="s">
        <v>74</v>
      </c>
      <c r="AF332" t="s">
        <v>74</v>
      </c>
      <c r="AG332">
        <v>31</v>
      </c>
      <c r="AH332">
        <v>45</v>
      </c>
      <c r="AI332">
        <v>48</v>
      </c>
      <c r="AJ332">
        <v>0</v>
      </c>
      <c r="AK332">
        <v>17</v>
      </c>
      <c r="AL332" t="s">
        <v>445</v>
      </c>
      <c r="AM332" t="s">
        <v>229</v>
      </c>
      <c r="AN332" t="s">
        <v>446</v>
      </c>
      <c r="AO332" t="s">
        <v>4743</v>
      </c>
      <c r="AP332" t="s">
        <v>4744</v>
      </c>
      <c r="AQ332" t="s">
        <v>74</v>
      </c>
      <c r="AR332" t="s">
        <v>4745</v>
      </c>
      <c r="AS332" t="s">
        <v>4746</v>
      </c>
      <c r="AT332" t="s">
        <v>3946</v>
      </c>
      <c r="AU332">
        <v>1998</v>
      </c>
      <c r="AV332">
        <v>30</v>
      </c>
      <c r="AW332">
        <v>14</v>
      </c>
      <c r="AX332" t="s">
        <v>74</v>
      </c>
      <c r="AY332" t="s">
        <v>74</v>
      </c>
      <c r="AZ332" t="s">
        <v>74</v>
      </c>
      <c r="BA332" t="s">
        <v>74</v>
      </c>
      <c r="BB332">
        <v>1947</v>
      </c>
      <c r="BC332">
        <v>1953</v>
      </c>
      <c r="BD332" t="s">
        <v>74</v>
      </c>
      <c r="BE332" t="s">
        <v>4747</v>
      </c>
      <c r="BF332" t="str">
        <f>HYPERLINK("http://dx.doi.org/10.1016/S0038-0717(98)00065-0","http://dx.doi.org/10.1016/S0038-0717(98)00065-0")</f>
        <v>http://dx.doi.org/10.1016/S0038-0717(98)00065-0</v>
      </c>
      <c r="BG332" t="s">
        <v>74</v>
      </c>
      <c r="BH332" t="s">
        <v>74</v>
      </c>
      <c r="BI332">
        <v>7</v>
      </c>
      <c r="BJ332" t="s">
        <v>94</v>
      </c>
      <c r="BK332" t="s">
        <v>95</v>
      </c>
      <c r="BL332" t="s">
        <v>96</v>
      </c>
      <c r="BM332" t="s">
        <v>4748</v>
      </c>
      <c r="BN332" t="s">
        <v>74</v>
      </c>
      <c r="BO332" t="s">
        <v>74</v>
      </c>
      <c r="BP332" t="s">
        <v>74</v>
      </c>
      <c r="BQ332" t="s">
        <v>74</v>
      </c>
      <c r="BR332" t="s">
        <v>98</v>
      </c>
      <c r="BS332" t="s">
        <v>4749</v>
      </c>
      <c r="BT332" t="str">
        <f>HYPERLINK("https%3A%2F%2Fwww.webofscience.com%2Fwos%2Fwoscc%2Ffull-record%2FWOS:000076458300010","View Full Record in Web of Science")</f>
        <v>View Full Record in Web of Science</v>
      </c>
    </row>
    <row r="333" spans="1:72" x14ac:dyDescent="0.15">
      <c r="A333" t="s">
        <v>72</v>
      </c>
      <c r="B333" t="s">
        <v>4750</v>
      </c>
      <c r="C333" t="s">
        <v>74</v>
      </c>
      <c r="D333" t="s">
        <v>74</v>
      </c>
      <c r="E333" t="s">
        <v>74</v>
      </c>
      <c r="F333" t="s">
        <v>4750</v>
      </c>
      <c r="G333" t="s">
        <v>74</v>
      </c>
      <c r="H333" t="s">
        <v>74</v>
      </c>
      <c r="I333" t="s">
        <v>4751</v>
      </c>
      <c r="J333" t="s">
        <v>4752</v>
      </c>
      <c r="K333" t="s">
        <v>74</v>
      </c>
      <c r="L333" t="s">
        <v>74</v>
      </c>
      <c r="M333" t="s">
        <v>77</v>
      </c>
      <c r="N333" t="s">
        <v>103</v>
      </c>
      <c r="O333" t="s">
        <v>74</v>
      </c>
      <c r="P333" t="s">
        <v>74</v>
      </c>
      <c r="Q333" t="s">
        <v>74</v>
      </c>
      <c r="R333" t="s">
        <v>74</v>
      </c>
      <c r="S333" t="s">
        <v>74</v>
      </c>
      <c r="T333" t="s">
        <v>4753</v>
      </c>
      <c r="U333" t="s">
        <v>74</v>
      </c>
      <c r="V333" t="s">
        <v>4754</v>
      </c>
      <c r="W333" t="s">
        <v>4755</v>
      </c>
      <c r="X333" t="s">
        <v>4756</v>
      </c>
      <c r="Y333" t="s">
        <v>4757</v>
      </c>
      <c r="Z333" t="s">
        <v>74</v>
      </c>
      <c r="AA333" t="s">
        <v>4758</v>
      </c>
      <c r="AB333" t="s">
        <v>4759</v>
      </c>
      <c r="AC333" t="s">
        <v>74</v>
      </c>
      <c r="AD333" t="s">
        <v>74</v>
      </c>
      <c r="AE333" t="s">
        <v>74</v>
      </c>
      <c r="AF333" t="s">
        <v>74</v>
      </c>
      <c r="AG333">
        <v>25</v>
      </c>
      <c r="AH333">
        <v>10</v>
      </c>
      <c r="AI333">
        <v>12</v>
      </c>
      <c r="AJ333">
        <v>0</v>
      </c>
      <c r="AK333">
        <v>1</v>
      </c>
      <c r="AL333" t="s">
        <v>928</v>
      </c>
      <c r="AM333" t="s">
        <v>656</v>
      </c>
      <c r="AN333" t="s">
        <v>657</v>
      </c>
      <c r="AO333" t="s">
        <v>4760</v>
      </c>
      <c r="AP333" t="s">
        <v>74</v>
      </c>
      <c r="AQ333" t="s">
        <v>74</v>
      </c>
      <c r="AR333" t="s">
        <v>4761</v>
      </c>
      <c r="AS333" t="s">
        <v>4762</v>
      </c>
      <c r="AT333" t="s">
        <v>3946</v>
      </c>
      <c r="AU333">
        <v>1998</v>
      </c>
      <c r="AV333">
        <v>124</v>
      </c>
      <c r="AW333">
        <v>4</v>
      </c>
      <c r="AX333" t="s">
        <v>74</v>
      </c>
      <c r="AY333" t="s">
        <v>74</v>
      </c>
      <c r="AZ333" t="s">
        <v>74</v>
      </c>
      <c r="BA333" t="s">
        <v>74</v>
      </c>
      <c r="BB333">
        <v>355</v>
      </c>
      <c r="BC333">
        <v>367</v>
      </c>
      <c r="BD333" t="s">
        <v>74</v>
      </c>
      <c r="BE333" t="s">
        <v>74</v>
      </c>
      <c r="BF333" t="s">
        <v>74</v>
      </c>
      <c r="BG333" t="s">
        <v>74</v>
      </c>
      <c r="BH333" t="s">
        <v>74</v>
      </c>
      <c r="BI333">
        <v>13</v>
      </c>
      <c r="BJ333" t="s">
        <v>117</v>
      </c>
      <c r="BK333" t="s">
        <v>95</v>
      </c>
      <c r="BL333" t="s">
        <v>117</v>
      </c>
      <c r="BM333" t="s">
        <v>4763</v>
      </c>
      <c r="BN333" t="s">
        <v>74</v>
      </c>
      <c r="BO333" t="s">
        <v>74</v>
      </c>
      <c r="BP333" t="s">
        <v>74</v>
      </c>
      <c r="BQ333" t="s">
        <v>74</v>
      </c>
      <c r="BR333" t="s">
        <v>98</v>
      </c>
      <c r="BS333" t="s">
        <v>4764</v>
      </c>
      <c r="BT333" t="str">
        <f>HYPERLINK("https%3A%2F%2Fwww.webofscience.com%2Fwos%2Fwoscc%2Ffull-record%2FWOS:000078107400002","View Full Record in Web of Science")</f>
        <v>View Full Record in Web of Science</v>
      </c>
    </row>
    <row r="334" spans="1:72" x14ac:dyDescent="0.15">
      <c r="A334" t="s">
        <v>72</v>
      </c>
      <c r="B334" t="s">
        <v>4750</v>
      </c>
      <c r="C334" t="s">
        <v>74</v>
      </c>
      <c r="D334" t="s">
        <v>74</v>
      </c>
      <c r="E334" t="s">
        <v>74</v>
      </c>
      <c r="F334" t="s">
        <v>4750</v>
      </c>
      <c r="G334" t="s">
        <v>74</v>
      </c>
      <c r="H334" t="s">
        <v>74</v>
      </c>
      <c r="I334" t="s">
        <v>4765</v>
      </c>
      <c r="J334" t="s">
        <v>4766</v>
      </c>
      <c r="K334" t="s">
        <v>74</v>
      </c>
      <c r="L334" t="s">
        <v>74</v>
      </c>
      <c r="M334" t="s">
        <v>77</v>
      </c>
      <c r="N334" t="s">
        <v>103</v>
      </c>
      <c r="O334" t="s">
        <v>74</v>
      </c>
      <c r="P334" t="s">
        <v>74</v>
      </c>
      <c r="Q334" t="s">
        <v>74</v>
      </c>
      <c r="R334" t="s">
        <v>74</v>
      </c>
      <c r="S334" t="s">
        <v>74</v>
      </c>
      <c r="T334" t="s">
        <v>4767</v>
      </c>
      <c r="U334" t="s">
        <v>74</v>
      </c>
      <c r="V334" t="s">
        <v>4768</v>
      </c>
      <c r="W334" t="s">
        <v>4755</v>
      </c>
      <c r="X334" t="s">
        <v>4756</v>
      </c>
      <c r="Y334" t="s">
        <v>4769</v>
      </c>
      <c r="Z334" t="s">
        <v>4770</v>
      </c>
      <c r="AA334" t="s">
        <v>4758</v>
      </c>
      <c r="AB334" t="s">
        <v>4759</v>
      </c>
      <c r="AC334" t="s">
        <v>74</v>
      </c>
      <c r="AD334" t="s">
        <v>74</v>
      </c>
      <c r="AE334" t="s">
        <v>74</v>
      </c>
      <c r="AF334" t="s">
        <v>74</v>
      </c>
      <c r="AG334">
        <v>27</v>
      </c>
      <c r="AH334">
        <v>4</v>
      </c>
      <c r="AI334">
        <v>5</v>
      </c>
      <c r="AJ334">
        <v>0</v>
      </c>
      <c r="AK334">
        <v>1</v>
      </c>
      <c r="AL334" t="s">
        <v>4771</v>
      </c>
      <c r="AM334" t="s">
        <v>4772</v>
      </c>
      <c r="AN334" t="s">
        <v>4773</v>
      </c>
      <c r="AO334" t="s">
        <v>4774</v>
      </c>
      <c r="AP334" t="s">
        <v>74</v>
      </c>
      <c r="AQ334" t="s">
        <v>74</v>
      </c>
      <c r="AR334" t="s">
        <v>4775</v>
      </c>
      <c r="AS334" t="s">
        <v>4776</v>
      </c>
      <c r="AT334" t="s">
        <v>3946</v>
      </c>
      <c r="AU334">
        <v>1998</v>
      </c>
      <c r="AV334">
        <v>237</v>
      </c>
      <c r="AW334" t="s">
        <v>1086</v>
      </c>
      <c r="AX334" t="s">
        <v>74</v>
      </c>
      <c r="AY334" t="s">
        <v>74</v>
      </c>
      <c r="AZ334" t="s">
        <v>74</v>
      </c>
      <c r="BA334" t="s">
        <v>74</v>
      </c>
      <c r="BB334">
        <v>97</v>
      </c>
      <c r="BC334">
        <v>106</v>
      </c>
      <c r="BD334" t="s">
        <v>74</v>
      </c>
      <c r="BE334" t="s">
        <v>74</v>
      </c>
      <c r="BF334" t="s">
        <v>74</v>
      </c>
      <c r="BG334" t="s">
        <v>74</v>
      </c>
      <c r="BH334" t="s">
        <v>74</v>
      </c>
      <c r="BI334">
        <v>10</v>
      </c>
      <c r="BJ334" t="s">
        <v>117</v>
      </c>
      <c r="BK334" t="s">
        <v>95</v>
      </c>
      <c r="BL334" t="s">
        <v>117</v>
      </c>
      <c r="BM334" t="s">
        <v>4777</v>
      </c>
      <c r="BN334" t="s">
        <v>74</v>
      </c>
      <c r="BO334" t="s">
        <v>74</v>
      </c>
      <c r="BP334" t="s">
        <v>74</v>
      </c>
      <c r="BQ334" t="s">
        <v>74</v>
      </c>
      <c r="BR334" t="s">
        <v>98</v>
      </c>
      <c r="BS334" t="s">
        <v>4778</v>
      </c>
      <c r="BT334" t="str">
        <f>HYPERLINK("https%3A%2F%2Fwww.webofscience.com%2Fwos%2Fwoscc%2Ffull-record%2FWOS:000078422000001","View Full Record in Web of Science")</f>
        <v>View Full Record in Web of Science</v>
      </c>
    </row>
    <row r="335" spans="1:72" x14ac:dyDescent="0.15">
      <c r="A335" t="s">
        <v>72</v>
      </c>
      <c r="B335" t="s">
        <v>4779</v>
      </c>
      <c r="C335" t="s">
        <v>74</v>
      </c>
      <c r="D335" t="s">
        <v>74</v>
      </c>
      <c r="E335" t="s">
        <v>74</v>
      </c>
      <c r="F335" t="s">
        <v>4779</v>
      </c>
      <c r="G335" t="s">
        <v>74</v>
      </c>
      <c r="H335" t="s">
        <v>74</v>
      </c>
      <c r="I335" t="s">
        <v>4780</v>
      </c>
      <c r="J335" t="s">
        <v>4781</v>
      </c>
      <c r="K335" t="s">
        <v>74</v>
      </c>
      <c r="L335" t="s">
        <v>74</v>
      </c>
      <c r="M335" t="s">
        <v>77</v>
      </c>
      <c r="N335" t="s">
        <v>103</v>
      </c>
      <c r="O335" t="s">
        <v>74</v>
      </c>
      <c r="P335" t="s">
        <v>74</v>
      </c>
      <c r="Q335" t="s">
        <v>74</v>
      </c>
      <c r="R335" t="s">
        <v>74</v>
      </c>
      <c r="S335" t="s">
        <v>74</v>
      </c>
      <c r="T335" t="s">
        <v>4782</v>
      </c>
      <c r="U335" t="s">
        <v>4783</v>
      </c>
      <c r="V335" t="s">
        <v>4784</v>
      </c>
      <c r="W335" t="s">
        <v>4785</v>
      </c>
      <c r="X335" t="s">
        <v>4786</v>
      </c>
      <c r="Y335" t="s">
        <v>4787</v>
      </c>
      <c r="Z335" t="s">
        <v>4788</v>
      </c>
      <c r="AA335" t="s">
        <v>4789</v>
      </c>
      <c r="AB335" t="s">
        <v>4790</v>
      </c>
      <c r="AC335" t="s">
        <v>74</v>
      </c>
      <c r="AD335" t="s">
        <v>74</v>
      </c>
      <c r="AE335" t="s">
        <v>74</v>
      </c>
      <c r="AF335" t="s">
        <v>74</v>
      </c>
      <c r="AG335">
        <v>46</v>
      </c>
      <c r="AH335">
        <v>25</v>
      </c>
      <c r="AI335">
        <v>25</v>
      </c>
      <c r="AJ335">
        <v>2</v>
      </c>
      <c r="AK335">
        <v>8</v>
      </c>
      <c r="AL335" t="s">
        <v>1866</v>
      </c>
      <c r="AM335" t="s">
        <v>1867</v>
      </c>
      <c r="AN335" t="s">
        <v>1868</v>
      </c>
      <c r="AO335" t="s">
        <v>4791</v>
      </c>
      <c r="AP335" t="s">
        <v>74</v>
      </c>
      <c r="AQ335" t="s">
        <v>74</v>
      </c>
      <c r="AR335" t="s">
        <v>4792</v>
      </c>
      <c r="AS335" t="s">
        <v>4793</v>
      </c>
      <c r="AT335" t="s">
        <v>4794</v>
      </c>
      <c r="AU335">
        <v>1998</v>
      </c>
      <c r="AV335">
        <v>16</v>
      </c>
      <c r="AW335">
        <v>2</v>
      </c>
      <c r="AX335" t="s">
        <v>74</v>
      </c>
      <c r="AY335" t="s">
        <v>74</v>
      </c>
      <c r="AZ335" t="s">
        <v>74</v>
      </c>
      <c r="BA335" t="s">
        <v>74</v>
      </c>
      <c r="BB335">
        <v>189</v>
      </c>
      <c r="BC335">
        <v>198</v>
      </c>
      <c r="BD335" t="s">
        <v>74</v>
      </c>
      <c r="BE335" t="s">
        <v>4795</v>
      </c>
      <c r="BF335" t="str">
        <f>HYPERLINK("http://dx.doi.org/10.3354/ame016189","http://dx.doi.org/10.3354/ame016189")</f>
        <v>http://dx.doi.org/10.3354/ame016189</v>
      </c>
      <c r="BG335" t="s">
        <v>74</v>
      </c>
      <c r="BH335" t="s">
        <v>74</v>
      </c>
      <c r="BI335">
        <v>10</v>
      </c>
      <c r="BJ335" t="s">
        <v>4796</v>
      </c>
      <c r="BK335" t="s">
        <v>95</v>
      </c>
      <c r="BL335" t="s">
        <v>4797</v>
      </c>
      <c r="BM335" t="s">
        <v>4798</v>
      </c>
      <c r="BN335" t="s">
        <v>74</v>
      </c>
      <c r="BO335" t="s">
        <v>1089</v>
      </c>
      <c r="BP335" t="s">
        <v>74</v>
      </c>
      <c r="BQ335" t="s">
        <v>74</v>
      </c>
      <c r="BR335" t="s">
        <v>98</v>
      </c>
      <c r="BS335" t="s">
        <v>4799</v>
      </c>
      <c r="BT335" t="str">
        <f>HYPERLINK("https%3A%2F%2Fwww.webofscience.com%2Fwos%2Fwoscc%2Ffull-record%2FWOS:000077727000009","View Full Record in Web of Science")</f>
        <v>View Full Record in Web of Science</v>
      </c>
    </row>
    <row r="336" spans="1:72" x14ac:dyDescent="0.15">
      <c r="A336" t="s">
        <v>72</v>
      </c>
      <c r="B336" t="s">
        <v>4800</v>
      </c>
      <c r="C336" t="s">
        <v>74</v>
      </c>
      <c r="D336" t="s">
        <v>74</v>
      </c>
      <c r="E336" t="s">
        <v>74</v>
      </c>
      <c r="F336" t="s">
        <v>4800</v>
      </c>
      <c r="G336" t="s">
        <v>74</v>
      </c>
      <c r="H336" t="s">
        <v>74</v>
      </c>
      <c r="I336" t="s">
        <v>4801</v>
      </c>
      <c r="J336" t="s">
        <v>4802</v>
      </c>
      <c r="K336" t="s">
        <v>74</v>
      </c>
      <c r="L336" t="s">
        <v>74</v>
      </c>
      <c r="M336" t="s">
        <v>77</v>
      </c>
      <c r="N336" t="s">
        <v>103</v>
      </c>
      <c r="O336" t="s">
        <v>74</v>
      </c>
      <c r="P336" t="s">
        <v>74</v>
      </c>
      <c r="Q336" t="s">
        <v>74</v>
      </c>
      <c r="R336" t="s">
        <v>74</v>
      </c>
      <c r="S336" t="s">
        <v>74</v>
      </c>
      <c r="T336" t="s">
        <v>74</v>
      </c>
      <c r="U336" t="s">
        <v>4803</v>
      </c>
      <c r="V336" t="s">
        <v>4804</v>
      </c>
      <c r="W336" t="s">
        <v>4805</v>
      </c>
      <c r="X336" t="s">
        <v>4806</v>
      </c>
      <c r="Y336" t="s">
        <v>4807</v>
      </c>
      <c r="Z336" t="s">
        <v>4808</v>
      </c>
      <c r="AA336" t="s">
        <v>4809</v>
      </c>
      <c r="AB336" t="s">
        <v>4810</v>
      </c>
      <c r="AC336" t="s">
        <v>74</v>
      </c>
      <c r="AD336" t="s">
        <v>74</v>
      </c>
      <c r="AE336" t="s">
        <v>74</v>
      </c>
      <c r="AF336" t="s">
        <v>74</v>
      </c>
      <c r="AG336">
        <v>27</v>
      </c>
      <c r="AH336">
        <v>14</v>
      </c>
      <c r="AI336">
        <v>14</v>
      </c>
      <c r="AJ336">
        <v>0</v>
      </c>
      <c r="AK336">
        <v>0</v>
      </c>
      <c r="AL336" t="s">
        <v>966</v>
      </c>
      <c r="AM336" t="s">
        <v>967</v>
      </c>
      <c r="AN336" t="s">
        <v>968</v>
      </c>
      <c r="AO336" t="s">
        <v>4811</v>
      </c>
      <c r="AP336" t="s">
        <v>4812</v>
      </c>
      <c r="AQ336" t="s">
        <v>74</v>
      </c>
      <c r="AR336" t="s">
        <v>4813</v>
      </c>
      <c r="AS336" t="s">
        <v>4814</v>
      </c>
      <c r="AT336" t="s">
        <v>4794</v>
      </c>
      <c r="AU336">
        <v>1998</v>
      </c>
      <c r="AV336">
        <v>103</v>
      </c>
      <c r="AW336" t="s">
        <v>4815</v>
      </c>
      <c r="AX336" t="s">
        <v>74</v>
      </c>
      <c r="AY336" t="s">
        <v>74</v>
      </c>
      <c r="AZ336" t="s">
        <v>74</v>
      </c>
      <c r="BA336" t="s">
        <v>74</v>
      </c>
      <c r="BB336">
        <v>28627</v>
      </c>
      <c r="BC336">
        <v>28636</v>
      </c>
      <c r="BD336" t="s">
        <v>74</v>
      </c>
      <c r="BE336" t="s">
        <v>4816</v>
      </c>
      <c r="BF336" t="str">
        <f>HYPERLINK("http://dx.doi.org/10.1029/1998JD200001","http://dx.doi.org/10.1029/1998JD200001")</f>
        <v>http://dx.doi.org/10.1029/1998JD200001</v>
      </c>
      <c r="BG336" t="s">
        <v>74</v>
      </c>
      <c r="BH336" t="s">
        <v>74</v>
      </c>
      <c r="BI336">
        <v>10</v>
      </c>
      <c r="BJ336" t="s">
        <v>1418</v>
      </c>
      <c r="BK336" t="s">
        <v>95</v>
      </c>
      <c r="BL336" t="s">
        <v>1418</v>
      </c>
      <c r="BM336" t="s">
        <v>4817</v>
      </c>
      <c r="BN336" t="s">
        <v>74</v>
      </c>
      <c r="BO336" t="s">
        <v>1089</v>
      </c>
      <c r="BP336" t="s">
        <v>74</v>
      </c>
      <c r="BQ336" t="s">
        <v>74</v>
      </c>
      <c r="BR336" t="s">
        <v>98</v>
      </c>
      <c r="BS336" t="s">
        <v>4818</v>
      </c>
      <c r="BT336" t="str">
        <f>HYPERLINK("https%3A%2F%2Fwww.webofscience.com%2Fwos%2Fwoscc%2Ffull-record%2FWOS:000077196200001","View Full Record in Web of Science")</f>
        <v>View Full Record in Web of Science</v>
      </c>
    </row>
    <row r="337" spans="1:72" x14ac:dyDescent="0.15">
      <c r="A337" t="s">
        <v>72</v>
      </c>
      <c r="B337" t="s">
        <v>4819</v>
      </c>
      <c r="C337" t="s">
        <v>74</v>
      </c>
      <c r="D337" t="s">
        <v>74</v>
      </c>
      <c r="E337" t="s">
        <v>74</v>
      </c>
      <c r="F337" t="s">
        <v>4819</v>
      </c>
      <c r="G337" t="s">
        <v>74</v>
      </c>
      <c r="H337" t="s">
        <v>74</v>
      </c>
      <c r="I337" t="s">
        <v>4820</v>
      </c>
      <c r="J337" t="s">
        <v>4821</v>
      </c>
      <c r="K337" t="s">
        <v>74</v>
      </c>
      <c r="L337" t="s">
        <v>74</v>
      </c>
      <c r="M337" t="s">
        <v>77</v>
      </c>
      <c r="N337" t="s">
        <v>103</v>
      </c>
      <c r="O337" t="s">
        <v>74</v>
      </c>
      <c r="P337" t="s">
        <v>74</v>
      </c>
      <c r="Q337" t="s">
        <v>74</v>
      </c>
      <c r="R337" t="s">
        <v>74</v>
      </c>
      <c r="S337" t="s">
        <v>74</v>
      </c>
      <c r="T337" t="s">
        <v>74</v>
      </c>
      <c r="U337" t="s">
        <v>4822</v>
      </c>
      <c r="V337" t="s">
        <v>4823</v>
      </c>
      <c r="W337" t="s">
        <v>4824</v>
      </c>
      <c r="X337" t="s">
        <v>4825</v>
      </c>
      <c r="Y337" t="s">
        <v>4826</v>
      </c>
      <c r="Z337" t="s">
        <v>4827</v>
      </c>
      <c r="AA337" t="s">
        <v>74</v>
      </c>
      <c r="AB337" t="s">
        <v>4828</v>
      </c>
      <c r="AC337" t="s">
        <v>74</v>
      </c>
      <c r="AD337" t="s">
        <v>74</v>
      </c>
      <c r="AE337" t="s">
        <v>74</v>
      </c>
      <c r="AF337" t="s">
        <v>74</v>
      </c>
      <c r="AG337">
        <v>41</v>
      </c>
      <c r="AH337">
        <v>51</v>
      </c>
      <c r="AI337">
        <v>59</v>
      </c>
      <c r="AJ337">
        <v>1</v>
      </c>
      <c r="AK337">
        <v>9</v>
      </c>
      <c r="AL337" t="s">
        <v>966</v>
      </c>
      <c r="AM337" t="s">
        <v>967</v>
      </c>
      <c r="AN337" t="s">
        <v>968</v>
      </c>
      <c r="AO337" t="s">
        <v>4829</v>
      </c>
      <c r="AP337" t="s">
        <v>4830</v>
      </c>
      <c r="AQ337" t="s">
        <v>74</v>
      </c>
      <c r="AR337" t="s">
        <v>4831</v>
      </c>
      <c r="AS337" t="s">
        <v>4832</v>
      </c>
      <c r="AT337" t="s">
        <v>4833</v>
      </c>
      <c r="AU337">
        <v>1998</v>
      </c>
      <c r="AV337">
        <v>103</v>
      </c>
      <c r="AW337" t="s">
        <v>4834</v>
      </c>
      <c r="AX337" t="s">
        <v>74</v>
      </c>
      <c r="AY337" t="s">
        <v>74</v>
      </c>
      <c r="AZ337" t="s">
        <v>74</v>
      </c>
      <c r="BA337" t="s">
        <v>74</v>
      </c>
      <c r="BB337">
        <v>28481</v>
      </c>
      <c r="BC337">
        <v>28493</v>
      </c>
      <c r="BD337" t="s">
        <v>74</v>
      </c>
      <c r="BE337" t="s">
        <v>4835</v>
      </c>
      <c r="BF337" t="str">
        <f>HYPERLINK("http://dx.doi.org/10.1029/98JE01713","http://dx.doi.org/10.1029/98JE01713")</f>
        <v>http://dx.doi.org/10.1029/98JE01713</v>
      </c>
      <c r="BG337" t="s">
        <v>74</v>
      </c>
      <c r="BH337" t="s">
        <v>74</v>
      </c>
      <c r="BI337">
        <v>13</v>
      </c>
      <c r="BJ337" t="s">
        <v>303</v>
      </c>
      <c r="BK337" t="s">
        <v>95</v>
      </c>
      <c r="BL337" t="s">
        <v>303</v>
      </c>
      <c r="BM337" t="s">
        <v>4836</v>
      </c>
      <c r="BN337" t="s">
        <v>74</v>
      </c>
      <c r="BO337" t="s">
        <v>2091</v>
      </c>
      <c r="BP337" t="s">
        <v>74</v>
      </c>
      <c r="BQ337" t="s">
        <v>74</v>
      </c>
      <c r="BR337" t="s">
        <v>98</v>
      </c>
      <c r="BS337" t="s">
        <v>4837</v>
      </c>
      <c r="BT337" t="str">
        <f>HYPERLINK("https%3A%2F%2Fwww.webofscience.com%2Fwos%2Fwoscc%2Ffull-record%2FWOS:000077290100004","View Full Record in Web of Science")</f>
        <v>View Full Record in Web of Science</v>
      </c>
    </row>
    <row r="338" spans="1:72" x14ac:dyDescent="0.15">
      <c r="A338" t="s">
        <v>72</v>
      </c>
      <c r="B338" t="s">
        <v>4838</v>
      </c>
      <c r="C338" t="s">
        <v>74</v>
      </c>
      <c r="D338" t="s">
        <v>74</v>
      </c>
      <c r="E338" t="s">
        <v>74</v>
      </c>
      <c r="F338" t="s">
        <v>4838</v>
      </c>
      <c r="G338" t="s">
        <v>74</v>
      </c>
      <c r="H338" t="s">
        <v>74</v>
      </c>
      <c r="I338" t="s">
        <v>4839</v>
      </c>
      <c r="J338" t="s">
        <v>4840</v>
      </c>
      <c r="K338" t="s">
        <v>74</v>
      </c>
      <c r="L338" t="s">
        <v>74</v>
      </c>
      <c r="M338" t="s">
        <v>77</v>
      </c>
      <c r="N338" t="s">
        <v>123</v>
      </c>
      <c r="O338" t="s">
        <v>4841</v>
      </c>
      <c r="P338">
        <v>1996</v>
      </c>
      <c r="Q338" t="s">
        <v>4842</v>
      </c>
      <c r="R338" t="s">
        <v>74</v>
      </c>
      <c r="S338" t="s">
        <v>4843</v>
      </c>
      <c r="T338" t="s">
        <v>74</v>
      </c>
      <c r="U338" t="s">
        <v>4844</v>
      </c>
      <c r="V338" t="s">
        <v>4845</v>
      </c>
      <c r="W338" t="s">
        <v>4846</v>
      </c>
      <c r="X338" t="s">
        <v>4847</v>
      </c>
      <c r="Y338" t="s">
        <v>4848</v>
      </c>
      <c r="Z338" t="s">
        <v>74</v>
      </c>
      <c r="AA338" t="s">
        <v>74</v>
      </c>
      <c r="AB338" t="s">
        <v>74</v>
      </c>
      <c r="AC338" t="s">
        <v>74</v>
      </c>
      <c r="AD338" t="s">
        <v>74</v>
      </c>
      <c r="AE338" t="s">
        <v>74</v>
      </c>
      <c r="AF338" t="s">
        <v>74</v>
      </c>
      <c r="AG338">
        <v>81</v>
      </c>
      <c r="AH338">
        <v>25</v>
      </c>
      <c r="AI338">
        <v>28</v>
      </c>
      <c r="AJ338">
        <v>0</v>
      </c>
      <c r="AK338">
        <v>2</v>
      </c>
      <c r="AL338" t="s">
        <v>4849</v>
      </c>
      <c r="AM338" t="s">
        <v>111</v>
      </c>
      <c r="AN338" t="s">
        <v>112</v>
      </c>
      <c r="AO338" t="s">
        <v>4850</v>
      </c>
      <c r="AP338" t="s">
        <v>74</v>
      </c>
      <c r="AQ338" t="s">
        <v>74</v>
      </c>
      <c r="AR338" t="s">
        <v>4851</v>
      </c>
      <c r="AS338" t="s">
        <v>4852</v>
      </c>
      <c r="AT338" t="s">
        <v>4853</v>
      </c>
      <c r="AU338">
        <v>1998</v>
      </c>
      <c r="AV338">
        <v>11</v>
      </c>
      <c r="AW338" t="s">
        <v>1282</v>
      </c>
      <c r="AX338" t="s">
        <v>74</v>
      </c>
      <c r="AY338" t="s">
        <v>74</v>
      </c>
      <c r="AZ338" t="s">
        <v>74</v>
      </c>
      <c r="BA338" t="s">
        <v>74</v>
      </c>
      <c r="BB338">
        <v>373</v>
      </c>
      <c r="BC338">
        <v>390</v>
      </c>
      <c r="BD338" t="s">
        <v>74</v>
      </c>
      <c r="BE338" t="s">
        <v>4854</v>
      </c>
      <c r="BF338" t="str">
        <f>HYPERLINK("http://dx.doi.org/10.1071/SB97018","http://dx.doi.org/10.1071/SB97018")</f>
        <v>http://dx.doi.org/10.1071/SB97018</v>
      </c>
      <c r="BG338" t="s">
        <v>74</v>
      </c>
      <c r="BH338" t="s">
        <v>74</v>
      </c>
      <c r="BI338">
        <v>18</v>
      </c>
      <c r="BJ338" t="s">
        <v>4855</v>
      </c>
      <c r="BK338" t="s">
        <v>235</v>
      </c>
      <c r="BL338" t="s">
        <v>4855</v>
      </c>
      <c r="BM338" t="s">
        <v>4856</v>
      </c>
      <c r="BN338" t="s">
        <v>74</v>
      </c>
      <c r="BO338" t="s">
        <v>74</v>
      </c>
      <c r="BP338" t="s">
        <v>74</v>
      </c>
      <c r="BQ338" t="s">
        <v>74</v>
      </c>
      <c r="BR338" t="s">
        <v>98</v>
      </c>
      <c r="BS338" t="s">
        <v>4857</v>
      </c>
      <c r="BT338" t="str">
        <f>HYPERLINK("https%3A%2F%2Fwww.webofscience.com%2Fwos%2Fwoscc%2Ffull-record%2FWOS:000077339800009","View Full Record in Web of Science")</f>
        <v>View Full Record in Web of Science</v>
      </c>
    </row>
    <row r="339" spans="1:72" x14ac:dyDescent="0.15">
      <c r="A339" t="s">
        <v>72</v>
      </c>
      <c r="B339" t="s">
        <v>4858</v>
      </c>
      <c r="C339" t="s">
        <v>74</v>
      </c>
      <c r="D339" t="s">
        <v>74</v>
      </c>
      <c r="E339" t="s">
        <v>74</v>
      </c>
      <c r="F339" t="s">
        <v>4858</v>
      </c>
      <c r="G339" t="s">
        <v>74</v>
      </c>
      <c r="H339" t="s">
        <v>74</v>
      </c>
      <c r="I339" t="s">
        <v>4859</v>
      </c>
      <c r="J339" t="s">
        <v>4860</v>
      </c>
      <c r="K339" t="s">
        <v>74</v>
      </c>
      <c r="L339" t="s">
        <v>74</v>
      </c>
      <c r="M339" t="s">
        <v>77</v>
      </c>
      <c r="N339" t="s">
        <v>103</v>
      </c>
      <c r="O339" t="s">
        <v>74</v>
      </c>
      <c r="P339" t="s">
        <v>74</v>
      </c>
      <c r="Q339" t="s">
        <v>74</v>
      </c>
      <c r="R339" t="s">
        <v>74</v>
      </c>
      <c r="S339" t="s">
        <v>74</v>
      </c>
      <c r="T339" t="s">
        <v>74</v>
      </c>
      <c r="U339" t="s">
        <v>4861</v>
      </c>
      <c r="V339" t="s">
        <v>4862</v>
      </c>
      <c r="W339" t="s">
        <v>1437</v>
      </c>
      <c r="X339" t="s">
        <v>628</v>
      </c>
      <c r="Y339" t="s">
        <v>4863</v>
      </c>
      <c r="Z339" t="s">
        <v>74</v>
      </c>
      <c r="AA339" t="s">
        <v>74</v>
      </c>
      <c r="AB339" t="s">
        <v>74</v>
      </c>
      <c r="AC339" t="s">
        <v>74</v>
      </c>
      <c r="AD339" t="s">
        <v>74</v>
      </c>
      <c r="AE339" t="s">
        <v>74</v>
      </c>
      <c r="AF339" t="s">
        <v>74</v>
      </c>
      <c r="AG339">
        <v>20</v>
      </c>
      <c r="AH339">
        <v>20</v>
      </c>
      <c r="AI339">
        <v>21</v>
      </c>
      <c r="AJ339">
        <v>0</v>
      </c>
      <c r="AK339">
        <v>6</v>
      </c>
      <c r="AL339" t="s">
        <v>1201</v>
      </c>
      <c r="AM339" t="s">
        <v>1121</v>
      </c>
      <c r="AN339" t="s">
        <v>4864</v>
      </c>
      <c r="AO339" t="s">
        <v>4865</v>
      </c>
      <c r="AP339" t="s">
        <v>74</v>
      </c>
      <c r="AQ339" t="s">
        <v>74</v>
      </c>
      <c r="AR339" t="s">
        <v>4866</v>
      </c>
      <c r="AS339" t="s">
        <v>4867</v>
      </c>
      <c r="AT339" t="s">
        <v>4868</v>
      </c>
      <c r="AU339">
        <v>1998</v>
      </c>
      <c r="AV339">
        <v>19</v>
      </c>
      <c r="AW339">
        <v>17</v>
      </c>
      <c r="AX339" t="s">
        <v>74</v>
      </c>
      <c r="AY339" t="s">
        <v>74</v>
      </c>
      <c r="AZ339" t="s">
        <v>74</v>
      </c>
      <c r="BA339" t="s">
        <v>74</v>
      </c>
      <c r="BB339">
        <v>3335</v>
      </c>
      <c r="BC339">
        <v>3348</v>
      </c>
      <c r="BD339" t="s">
        <v>74</v>
      </c>
      <c r="BE339" t="s">
        <v>4869</v>
      </c>
      <c r="BF339" t="str">
        <f>HYPERLINK("http://dx.doi.org/10.1080/014311698214028","http://dx.doi.org/10.1080/014311698214028")</f>
        <v>http://dx.doi.org/10.1080/014311698214028</v>
      </c>
      <c r="BG339" t="s">
        <v>74</v>
      </c>
      <c r="BH339" t="s">
        <v>74</v>
      </c>
      <c r="BI339">
        <v>14</v>
      </c>
      <c r="BJ339" t="s">
        <v>4870</v>
      </c>
      <c r="BK339" t="s">
        <v>95</v>
      </c>
      <c r="BL339" t="s">
        <v>4870</v>
      </c>
      <c r="BM339" t="s">
        <v>4871</v>
      </c>
      <c r="BN339" t="s">
        <v>74</v>
      </c>
      <c r="BO339" t="s">
        <v>74</v>
      </c>
      <c r="BP339" t="s">
        <v>74</v>
      </c>
      <c r="BQ339" t="s">
        <v>74</v>
      </c>
      <c r="BR339" t="s">
        <v>98</v>
      </c>
      <c r="BS339" t="s">
        <v>4872</v>
      </c>
      <c r="BT339" t="str">
        <f>HYPERLINK("https%3A%2F%2Fwww.webofscience.com%2Fwos%2Fwoscc%2Ffull-record%2FWOS:000077698900010","View Full Record in Web of Science")</f>
        <v>View Full Record in Web of Science</v>
      </c>
    </row>
    <row r="340" spans="1:72" x14ac:dyDescent="0.15">
      <c r="A340" t="s">
        <v>72</v>
      </c>
      <c r="B340" t="s">
        <v>4873</v>
      </c>
      <c r="C340" t="s">
        <v>74</v>
      </c>
      <c r="D340" t="s">
        <v>74</v>
      </c>
      <c r="E340" t="s">
        <v>74</v>
      </c>
      <c r="F340" t="s">
        <v>4873</v>
      </c>
      <c r="G340" t="s">
        <v>74</v>
      </c>
      <c r="H340" t="s">
        <v>74</v>
      </c>
      <c r="I340" t="s">
        <v>4874</v>
      </c>
      <c r="J340" t="s">
        <v>4802</v>
      </c>
      <c r="K340" t="s">
        <v>74</v>
      </c>
      <c r="L340" t="s">
        <v>74</v>
      </c>
      <c r="M340" t="s">
        <v>77</v>
      </c>
      <c r="N340" t="s">
        <v>103</v>
      </c>
      <c r="O340" t="s">
        <v>74</v>
      </c>
      <c r="P340" t="s">
        <v>74</v>
      </c>
      <c r="Q340" t="s">
        <v>74</v>
      </c>
      <c r="R340" t="s">
        <v>74</v>
      </c>
      <c r="S340" t="s">
        <v>74</v>
      </c>
      <c r="T340" t="s">
        <v>74</v>
      </c>
      <c r="U340" t="s">
        <v>4875</v>
      </c>
      <c r="V340" t="s">
        <v>4876</v>
      </c>
      <c r="W340" t="s">
        <v>4877</v>
      </c>
      <c r="X340" t="s">
        <v>4878</v>
      </c>
      <c r="Y340" t="s">
        <v>4879</v>
      </c>
      <c r="Z340" t="s">
        <v>4880</v>
      </c>
      <c r="AA340" t="s">
        <v>4881</v>
      </c>
      <c r="AB340" t="s">
        <v>4882</v>
      </c>
      <c r="AC340" t="s">
        <v>74</v>
      </c>
      <c r="AD340" t="s">
        <v>74</v>
      </c>
      <c r="AE340" t="s">
        <v>74</v>
      </c>
      <c r="AF340" t="s">
        <v>74</v>
      </c>
      <c r="AG340">
        <v>78</v>
      </c>
      <c r="AH340">
        <v>108</v>
      </c>
      <c r="AI340">
        <v>113</v>
      </c>
      <c r="AJ340">
        <v>1</v>
      </c>
      <c r="AK340">
        <v>17</v>
      </c>
      <c r="AL340" t="s">
        <v>966</v>
      </c>
      <c r="AM340" t="s">
        <v>967</v>
      </c>
      <c r="AN340" t="s">
        <v>968</v>
      </c>
      <c r="AO340" t="s">
        <v>4811</v>
      </c>
      <c r="AP340" t="s">
        <v>74</v>
      </c>
      <c r="AQ340" t="s">
        <v>74</v>
      </c>
      <c r="AR340" t="s">
        <v>4813</v>
      </c>
      <c r="AS340" t="s">
        <v>4814</v>
      </c>
      <c r="AT340" t="s">
        <v>4868</v>
      </c>
      <c r="AU340">
        <v>1998</v>
      </c>
      <c r="AV340">
        <v>103</v>
      </c>
      <c r="AW340" t="s">
        <v>4883</v>
      </c>
      <c r="AX340" t="s">
        <v>74</v>
      </c>
      <c r="AY340" t="s">
        <v>74</v>
      </c>
      <c r="AZ340" t="s">
        <v>74</v>
      </c>
      <c r="BA340" t="s">
        <v>74</v>
      </c>
      <c r="BB340">
        <v>28347</v>
      </c>
      <c r="BC340">
        <v>28359</v>
      </c>
      <c r="BD340" t="s">
        <v>74</v>
      </c>
      <c r="BE340" t="s">
        <v>4884</v>
      </c>
      <c r="BF340" t="str">
        <f>HYPERLINK("http://dx.doi.org/10.1029/98JD02850","http://dx.doi.org/10.1029/98JD02850")</f>
        <v>http://dx.doi.org/10.1029/98JD02850</v>
      </c>
      <c r="BG340" t="s">
        <v>74</v>
      </c>
      <c r="BH340" t="s">
        <v>74</v>
      </c>
      <c r="BI340">
        <v>13</v>
      </c>
      <c r="BJ340" t="s">
        <v>1418</v>
      </c>
      <c r="BK340" t="s">
        <v>95</v>
      </c>
      <c r="BL340" t="s">
        <v>1418</v>
      </c>
      <c r="BM340" t="s">
        <v>4885</v>
      </c>
      <c r="BN340" t="s">
        <v>74</v>
      </c>
      <c r="BO340" t="s">
        <v>1089</v>
      </c>
      <c r="BP340" t="s">
        <v>74</v>
      </c>
      <c r="BQ340" t="s">
        <v>74</v>
      </c>
      <c r="BR340" t="s">
        <v>98</v>
      </c>
      <c r="BS340" t="s">
        <v>4886</v>
      </c>
      <c r="BT340" t="str">
        <f>HYPERLINK("https%3A%2F%2Fwww.webofscience.com%2Fwos%2Fwoscc%2Ffull-record%2FWOS:000077078700023","View Full Record in Web of Science")</f>
        <v>View Full Record in Web of Science</v>
      </c>
    </row>
    <row r="341" spans="1:72" x14ac:dyDescent="0.15">
      <c r="A341" t="s">
        <v>72</v>
      </c>
      <c r="B341" t="s">
        <v>4887</v>
      </c>
      <c r="C341" t="s">
        <v>74</v>
      </c>
      <c r="D341" t="s">
        <v>74</v>
      </c>
      <c r="E341" t="s">
        <v>74</v>
      </c>
      <c r="F341" t="s">
        <v>4887</v>
      </c>
      <c r="G341" t="s">
        <v>74</v>
      </c>
      <c r="H341" t="s">
        <v>74</v>
      </c>
      <c r="I341" t="s">
        <v>4888</v>
      </c>
      <c r="J341" t="s">
        <v>4802</v>
      </c>
      <c r="K341" t="s">
        <v>74</v>
      </c>
      <c r="L341" t="s">
        <v>74</v>
      </c>
      <c r="M341" t="s">
        <v>77</v>
      </c>
      <c r="N341" t="s">
        <v>103</v>
      </c>
      <c r="O341" t="s">
        <v>74</v>
      </c>
      <c r="P341" t="s">
        <v>74</v>
      </c>
      <c r="Q341" t="s">
        <v>74</v>
      </c>
      <c r="R341" t="s">
        <v>74</v>
      </c>
      <c r="S341" t="s">
        <v>74</v>
      </c>
      <c r="T341" t="s">
        <v>74</v>
      </c>
      <c r="U341" t="s">
        <v>4889</v>
      </c>
      <c r="V341" t="s">
        <v>4890</v>
      </c>
      <c r="W341" t="s">
        <v>4891</v>
      </c>
      <c r="X341" t="s">
        <v>4892</v>
      </c>
      <c r="Y341" t="s">
        <v>4893</v>
      </c>
      <c r="Z341" t="s">
        <v>4894</v>
      </c>
      <c r="AA341" t="s">
        <v>4895</v>
      </c>
      <c r="AB341" t="s">
        <v>4896</v>
      </c>
      <c r="AC341" t="s">
        <v>74</v>
      </c>
      <c r="AD341" t="s">
        <v>74</v>
      </c>
      <c r="AE341" t="s">
        <v>74</v>
      </c>
      <c r="AF341" t="s">
        <v>74</v>
      </c>
      <c r="AG341">
        <v>59</v>
      </c>
      <c r="AH341">
        <v>37</v>
      </c>
      <c r="AI341">
        <v>39</v>
      </c>
      <c r="AJ341">
        <v>0</v>
      </c>
      <c r="AK341">
        <v>2</v>
      </c>
      <c r="AL341" t="s">
        <v>966</v>
      </c>
      <c r="AM341" t="s">
        <v>967</v>
      </c>
      <c r="AN341" t="s">
        <v>968</v>
      </c>
      <c r="AO341" t="s">
        <v>4811</v>
      </c>
      <c r="AP341" t="s">
        <v>4812</v>
      </c>
      <c r="AQ341" t="s">
        <v>74</v>
      </c>
      <c r="AR341" t="s">
        <v>4813</v>
      </c>
      <c r="AS341" t="s">
        <v>4814</v>
      </c>
      <c r="AT341" t="s">
        <v>4868</v>
      </c>
      <c r="AU341">
        <v>1998</v>
      </c>
      <c r="AV341">
        <v>103</v>
      </c>
      <c r="AW341" t="s">
        <v>4883</v>
      </c>
      <c r="AX341" t="s">
        <v>74</v>
      </c>
      <c r="AY341" t="s">
        <v>74</v>
      </c>
      <c r="AZ341" t="s">
        <v>74</v>
      </c>
      <c r="BA341" t="s">
        <v>74</v>
      </c>
      <c r="BB341">
        <v>28373</v>
      </c>
      <c r="BC341">
        <v>28387</v>
      </c>
      <c r="BD341" t="s">
        <v>74</v>
      </c>
      <c r="BE341" t="s">
        <v>4897</v>
      </c>
      <c r="BF341" t="str">
        <f>HYPERLINK("http://dx.doi.org/10.1029/98JD02354","http://dx.doi.org/10.1029/98JD02354")</f>
        <v>http://dx.doi.org/10.1029/98JD02354</v>
      </c>
      <c r="BG341" t="s">
        <v>74</v>
      </c>
      <c r="BH341" t="s">
        <v>74</v>
      </c>
      <c r="BI341">
        <v>15</v>
      </c>
      <c r="BJ341" t="s">
        <v>1418</v>
      </c>
      <c r="BK341" t="s">
        <v>95</v>
      </c>
      <c r="BL341" t="s">
        <v>1418</v>
      </c>
      <c r="BM341" t="s">
        <v>4885</v>
      </c>
      <c r="BN341" t="s">
        <v>74</v>
      </c>
      <c r="BO341" t="s">
        <v>74</v>
      </c>
      <c r="BP341" t="s">
        <v>74</v>
      </c>
      <c r="BQ341" t="s">
        <v>74</v>
      </c>
      <c r="BR341" t="s">
        <v>98</v>
      </c>
      <c r="BS341" t="s">
        <v>4898</v>
      </c>
      <c r="BT341" t="str">
        <f>HYPERLINK("https%3A%2F%2Fwww.webofscience.com%2Fwos%2Fwoscc%2Ffull-record%2FWOS:000077078700025","View Full Record in Web of Science")</f>
        <v>View Full Record in Web of Science</v>
      </c>
    </row>
    <row r="342" spans="1:72" x14ac:dyDescent="0.15">
      <c r="A342" t="s">
        <v>72</v>
      </c>
      <c r="B342" t="s">
        <v>4899</v>
      </c>
      <c r="C342" t="s">
        <v>74</v>
      </c>
      <c r="D342" t="s">
        <v>74</v>
      </c>
      <c r="E342" t="s">
        <v>74</v>
      </c>
      <c r="F342" t="s">
        <v>4899</v>
      </c>
      <c r="G342" t="s">
        <v>74</v>
      </c>
      <c r="H342" t="s">
        <v>74</v>
      </c>
      <c r="I342" t="s">
        <v>4900</v>
      </c>
      <c r="J342" t="s">
        <v>4802</v>
      </c>
      <c r="K342" t="s">
        <v>74</v>
      </c>
      <c r="L342" t="s">
        <v>74</v>
      </c>
      <c r="M342" t="s">
        <v>77</v>
      </c>
      <c r="N342" t="s">
        <v>103</v>
      </c>
      <c r="O342" t="s">
        <v>74</v>
      </c>
      <c r="P342" t="s">
        <v>74</v>
      </c>
      <c r="Q342" t="s">
        <v>74</v>
      </c>
      <c r="R342" t="s">
        <v>74</v>
      </c>
      <c r="S342" t="s">
        <v>74</v>
      </c>
      <c r="T342" t="s">
        <v>74</v>
      </c>
      <c r="U342" t="s">
        <v>4901</v>
      </c>
      <c r="V342" t="s">
        <v>4902</v>
      </c>
      <c r="W342" t="s">
        <v>4903</v>
      </c>
      <c r="X342" t="s">
        <v>544</v>
      </c>
      <c r="Y342" t="s">
        <v>4904</v>
      </c>
      <c r="Z342" t="s">
        <v>4905</v>
      </c>
      <c r="AA342" t="s">
        <v>4906</v>
      </c>
      <c r="AB342" t="s">
        <v>4907</v>
      </c>
      <c r="AC342" t="s">
        <v>74</v>
      </c>
      <c r="AD342" t="s">
        <v>74</v>
      </c>
      <c r="AE342" t="s">
        <v>74</v>
      </c>
      <c r="AF342" t="s">
        <v>74</v>
      </c>
      <c r="AG342">
        <v>45</v>
      </c>
      <c r="AH342">
        <v>72</v>
      </c>
      <c r="AI342">
        <v>77</v>
      </c>
      <c r="AJ342">
        <v>2</v>
      </c>
      <c r="AK342">
        <v>9</v>
      </c>
      <c r="AL342" t="s">
        <v>966</v>
      </c>
      <c r="AM342" t="s">
        <v>967</v>
      </c>
      <c r="AN342" t="s">
        <v>968</v>
      </c>
      <c r="AO342" t="s">
        <v>4811</v>
      </c>
      <c r="AP342" t="s">
        <v>4812</v>
      </c>
      <c r="AQ342" t="s">
        <v>74</v>
      </c>
      <c r="AR342" t="s">
        <v>4813</v>
      </c>
      <c r="AS342" t="s">
        <v>4814</v>
      </c>
      <c r="AT342" t="s">
        <v>4868</v>
      </c>
      <c r="AU342">
        <v>1998</v>
      </c>
      <c r="AV342">
        <v>103</v>
      </c>
      <c r="AW342" t="s">
        <v>4883</v>
      </c>
      <c r="AX342" t="s">
        <v>74</v>
      </c>
      <c r="AY342" t="s">
        <v>74</v>
      </c>
      <c r="AZ342" t="s">
        <v>74</v>
      </c>
      <c r="BA342" t="s">
        <v>74</v>
      </c>
      <c r="BB342">
        <v>28389</v>
      </c>
      <c r="BC342">
        <v>28403</v>
      </c>
      <c r="BD342" t="s">
        <v>74</v>
      </c>
      <c r="BE342" t="s">
        <v>4908</v>
      </c>
      <c r="BF342" t="str">
        <f>HYPERLINK("http://dx.doi.org/10.1029/98JD01960","http://dx.doi.org/10.1029/98JD01960")</f>
        <v>http://dx.doi.org/10.1029/98JD01960</v>
      </c>
      <c r="BG342" t="s">
        <v>74</v>
      </c>
      <c r="BH342" t="s">
        <v>74</v>
      </c>
      <c r="BI342">
        <v>15</v>
      </c>
      <c r="BJ342" t="s">
        <v>1418</v>
      </c>
      <c r="BK342" t="s">
        <v>95</v>
      </c>
      <c r="BL342" t="s">
        <v>1418</v>
      </c>
      <c r="BM342" t="s">
        <v>4885</v>
      </c>
      <c r="BN342" t="s">
        <v>74</v>
      </c>
      <c r="BO342" t="s">
        <v>74</v>
      </c>
      <c r="BP342" t="s">
        <v>74</v>
      </c>
      <c r="BQ342" t="s">
        <v>74</v>
      </c>
      <c r="BR342" t="s">
        <v>98</v>
      </c>
      <c r="BS342" t="s">
        <v>4909</v>
      </c>
      <c r="BT342" t="str">
        <f>HYPERLINK("https%3A%2F%2Fwww.webofscience.com%2Fwos%2Fwoscc%2Ffull-record%2FWOS:000077078700026","View Full Record in Web of Science")</f>
        <v>View Full Record in Web of Science</v>
      </c>
    </row>
    <row r="343" spans="1:72" x14ac:dyDescent="0.15">
      <c r="A343" t="s">
        <v>72</v>
      </c>
      <c r="B343" t="s">
        <v>4910</v>
      </c>
      <c r="C343" t="s">
        <v>74</v>
      </c>
      <c r="D343" t="s">
        <v>74</v>
      </c>
      <c r="E343" t="s">
        <v>74</v>
      </c>
      <c r="F343" t="s">
        <v>4910</v>
      </c>
      <c r="G343" t="s">
        <v>74</v>
      </c>
      <c r="H343" t="s">
        <v>74</v>
      </c>
      <c r="I343" t="s">
        <v>4911</v>
      </c>
      <c r="J343" t="s">
        <v>4912</v>
      </c>
      <c r="K343" t="s">
        <v>74</v>
      </c>
      <c r="L343" t="s">
        <v>74</v>
      </c>
      <c r="M343" t="s">
        <v>77</v>
      </c>
      <c r="N343" t="s">
        <v>103</v>
      </c>
      <c r="O343" t="s">
        <v>74</v>
      </c>
      <c r="P343" t="s">
        <v>74</v>
      </c>
      <c r="Q343" t="s">
        <v>74</v>
      </c>
      <c r="R343" t="s">
        <v>74</v>
      </c>
      <c r="S343" t="s">
        <v>74</v>
      </c>
      <c r="T343" t="s">
        <v>4913</v>
      </c>
      <c r="U343" t="s">
        <v>74</v>
      </c>
      <c r="V343" t="s">
        <v>4914</v>
      </c>
      <c r="W343" t="s">
        <v>4915</v>
      </c>
      <c r="X343" t="s">
        <v>4916</v>
      </c>
      <c r="Y343" t="s">
        <v>4917</v>
      </c>
      <c r="Z343" t="s">
        <v>4918</v>
      </c>
      <c r="AA343" t="s">
        <v>74</v>
      </c>
      <c r="AB343" t="s">
        <v>74</v>
      </c>
      <c r="AC343" t="s">
        <v>74</v>
      </c>
      <c r="AD343" t="s">
        <v>74</v>
      </c>
      <c r="AE343" t="s">
        <v>74</v>
      </c>
      <c r="AF343" t="s">
        <v>74</v>
      </c>
      <c r="AG343">
        <v>5</v>
      </c>
      <c r="AH343">
        <v>2</v>
      </c>
      <c r="AI343">
        <v>2</v>
      </c>
      <c r="AJ343">
        <v>0</v>
      </c>
      <c r="AK343">
        <v>2</v>
      </c>
      <c r="AL343" t="s">
        <v>1037</v>
      </c>
      <c r="AM343" t="s">
        <v>1038</v>
      </c>
      <c r="AN343" t="s">
        <v>1039</v>
      </c>
      <c r="AO343" t="s">
        <v>4919</v>
      </c>
      <c r="AP343" t="s">
        <v>4920</v>
      </c>
      <c r="AQ343" t="s">
        <v>74</v>
      </c>
      <c r="AR343" t="s">
        <v>4921</v>
      </c>
      <c r="AS343" t="s">
        <v>4922</v>
      </c>
      <c r="AT343" t="s">
        <v>4923</v>
      </c>
      <c r="AU343">
        <v>1998</v>
      </c>
      <c r="AV343">
        <v>152</v>
      </c>
      <c r="AW343" t="s">
        <v>1282</v>
      </c>
      <c r="AX343" t="s">
        <v>74</v>
      </c>
      <c r="AY343" t="s">
        <v>74</v>
      </c>
      <c r="AZ343" t="s">
        <v>74</v>
      </c>
      <c r="BA343" t="s">
        <v>74</v>
      </c>
      <c r="BB343">
        <v>321</v>
      </c>
      <c r="BC343">
        <v>323</v>
      </c>
      <c r="BD343" t="s">
        <v>74</v>
      </c>
      <c r="BE343" t="s">
        <v>4924</v>
      </c>
      <c r="BF343" t="str">
        <f>HYPERLINK("http://dx.doi.org/10.1016/S0009-2541(98)00118-1","http://dx.doi.org/10.1016/S0009-2541(98)00118-1")</f>
        <v>http://dx.doi.org/10.1016/S0009-2541(98)00118-1</v>
      </c>
      <c r="BG343" t="s">
        <v>74</v>
      </c>
      <c r="BH343" t="s">
        <v>74</v>
      </c>
      <c r="BI343">
        <v>3</v>
      </c>
      <c r="BJ343" t="s">
        <v>303</v>
      </c>
      <c r="BK343" t="s">
        <v>95</v>
      </c>
      <c r="BL343" t="s">
        <v>303</v>
      </c>
      <c r="BM343" t="s">
        <v>4925</v>
      </c>
      <c r="BN343" t="s">
        <v>74</v>
      </c>
      <c r="BO343" t="s">
        <v>74</v>
      </c>
      <c r="BP343" t="s">
        <v>74</v>
      </c>
      <c r="BQ343" t="s">
        <v>74</v>
      </c>
      <c r="BR343" t="s">
        <v>98</v>
      </c>
      <c r="BS343" t="s">
        <v>4926</v>
      </c>
      <c r="BT343" t="str">
        <f>HYPERLINK("https%3A%2F%2Fwww.webofscience.com%2Fwos%2Fwoscc%2Ffull-record%2FWOS:000076897500007","View Full Record in Web of Science")</f>
        <v>View Full Record in Web of Science</v>
      </c>
    </row>
    <row r="344" spans="1:72" x14ac:dyDescent="0.15">
      <c r="A344" t="s">
        <v>72</v>
      </c>
      <c r="B344" t="s">
        <v>4927</v>
      </c>
      <c r="C344" t="s">
        <v>74</v>
      </c>
      <c r="D344" t="s">
        <v>74</v>
      </c>
      <c r="E344" t="s">
        <v>74</v>
      </c>
      <c r="F344" t="s">
        <v>4927</v>
      </c>
      <c r="G344" t="s">
        <v>74</v>
      </c>
      <c r="H344" t="s">
        <v>74</v>
      </c>
      <c r="I344" t="s">
        <v>4928</v>
      </c>
      <c r="J344" t="s">
        <v>3825</v>
      </c>
      <c r="K344" t="s">
        <v>74</v>
      </c>
      <c r="L344" t="s">
        <v>74</v>
      </c>
      <c r="M344" t="s">
        <v>77</v>
      </c>
      <c r="N344" t="s">
        <v>103</v>
      </c>
      <c r="O344" t="s">
        <v>74</v>
      </c>
      <c r="P344" t="s">
        <v>74</v>
      </c>
      <c r="Q344" t="s">
        <v>74</v>
      </c>
      <c r="R344" t="s">
        <v>74</v>
      </c>
      <c r="S344" t="s">
        <v>74</v>
      </c>
      <c r="T344" t="s">
        <v>74</v>
      </c>
      <c r="U344" t="s">
        <v>4929</v>
      </c>
      <c r="V344" t="s">
        <v>4930</v>
      </c>
      <c r="W344" t="s">
        <v>4931</v>
      </c>
      <c r="X344" t="s">
        <v>4932</v>
      </c>
      <c r="Y344" t="s">
        <v>4933</v>
      </c>
      <c r="Z344" t="s">
        <v>4934</v>
      </c>
      <c r="AA344" t="s">
        <v>74</v>
      </c>
      <c r="AB344" t="s">
        <v>4935</v>
      </c>
      <c r="AC344" t="s">
        <v>74</v>
      </c>
      <c r="AD344" t="s">
        <v>74</v>
      </c>
      <c r="AE344" t="s">
        <v>74</v>
      </c>
      <c r="AF344" t="s">
        <v>74</v>
      </c>
      <c r="AG344">
        <v>76</v>
      </c>
      <c r="AH344">
        <v>58</v>
      </c>
      <c r="AI344">
        <v>62</v>
      </c>
      <c r="AJ344">
        <v>0</v>
      </c>
      <c r="AK344">
        <v>9</v>
      </c>
      <c r="AL344" t="s">
        <v>966</v>
      </c>
      <c r="AM344" t="s">
        <v>967</v>
      </c>
      <c r="AN344" t="s">
        <v>968</v>
      </c>
      <c r="AO344" t="s">
        <v>3833</v>
      </c>
      <c r="AP344" t="s">
        <v>3834</v>
      </c>
      <c r="AQ344" t="s">
        <v>74</v>
      </c>
      <c r="AR344" t="s">
        <v>3835</v>
      </c>
      <c r="AS344" t="s">
        <v>3836</v>
      </c>
      <c r="AT344" t="s">
        <v>4936</v>
      </c>
      <c r="AU344">
        <v>1998</v>
      </c>
      <c r="AV344">
        <v>103</v>
      </c>
      <c r="AW344" t="s">
        <v>4937</v>
      </c>
      <c r="AX344" t="s">
        <v>74</v>
      </c>
      <c r="AY344" t="s">
        <v>74</v>
      </c>
      <c r="AZ344" t="s">
        <v>74</v>
      </c>
      <c r="BA344" t="s">
        <v>74</v>
      </c>
      <c r="BB344">
        <v>27637</v>
      </c>
      <c r="BC344">
        <v>27653</v>
      </c>
      <c r="BD344" t="s">
        <v>74</v>
      </c>
      <c r="BE344" t="s">
        <v>4938</v>
      </c>
      <c r="BF344" t="str">
        <f>HYPERLINK("http://dx.doi.org/10.1029/98JC02476","http://dx.doi.org/10.1029/98JC02476")</f>
        <v>http://dx.doi.org/10.1029/98JC02476</v>
      </c>
      <c r="BG344" t="s">
        <v>74</v>
      </c>
      <c r="BH344" t="s">
        <v>74</v>
      </c>
      <c r="BI344">
        <v>17</v>
      </c>
      <c r="BJ344" t="s">
        <v>451</v>
      </c>
      <c r="BK344" t="s">
        <v>95</v>
      </c>
      <c r="BL344" t="s">
        <v>451</v>
      </c>
      <c r="BM344" t="s">
        <v>4939</v>
      </c>
      <c r="BN344" t="s">
        <v>74</v>
      </c>
      <c r="BO344" t="s">
        <v>1089</v>
      </c>
      <c r="BP344" t="s">
        <v>74</v>
      </c>
      <c r="BQ344" t="s">
        <v>74</v>
      </c>
      <c r="BR344" t="s">
        <v>98</v>
      </c>
      <c r="BS344" t="s">
        <v>4940</v>
      </c>
      <c r="BT344" t="str">
        <f>HYPERLINK("https%3A%2F%2Fwww.webofscience.com%2Fwos%2Fwoscc%2Ffull-record%2FWOS:000077004700005","View Full Record in Web of Science")</f>
        <v>View Full Record in Web of Science</v>
      </c>
    </row>
    <row r="345" spans="1:72" x14ac:dyDescent="0.15">
      <c r="A345" t="s">
        <v>72</v>
      </c>
      <c r="B345" t="s">
        <v>4941</v>
      </c>
      <c r="C345" t="s">
        <v>74</v>
      </c>
      <c r="D345" t="s">
        <v>74</v>
      </c>
      <c r="E345" t="s">
        <v>74</v>
      </c>
      <c r="F345" t="s">
        <v>4941</v>
      </c>
      <c r="G345" t="s">
        <v>74</v>
      </c>
      <c r="H345" t="s">
        <v>74</v>
      </c>
      <c r="I345" t="s">
        <v>4942</v>
      </c>
      <c r="J345" t="s">
        <v>4943</v>
      </c>
      <c r="K345" t="s">
        <v>74</v>
      </c>
      <c r="L345" t="s">
        <v>74</v>
      </c>
      <c r="M345" t="s">
        <v>77</v>
      </c>
      <c r="N345" t="s">
        <v>2185</v>
      </c>
      <c r="O345" t="s">
        <v>74</v>
      </c>
      <c r="P345" t="s">
        <v>74</v>
      </c>
      <c r="Q345" t="s">
        <v>74</v>
      </c>
      <c r="R345" t="s">
        <v>74</v>
      </c>
      <c r="S345" t="s">
        <v>74</v>
      </c>
      <c r="T345" t="s">
        <v>74</v>
      </c>
      <c r="U345" t="s">
        <v>74</v>
      </c>
      <c r="V345" t="s">
        <v>74</v>
      </c>
      <c r="W345" t="s">
        <v>74</v>
      </c>
      <c r="X345" t="s">
        <v>74</v>
      </c>
      <c r="Y345" t="s">
        <v>74</v>
      </c>
      <c r="Z345" t="s">
        <v>74</v>
      </c>
      <c r="AA345" t="s">
        <v>4944</v>
      </c>
      <c r="AB345" t="s">
        <v>4945</v>
      </c>
      <c r="AC345" t="s">
        <v>74</v>
      </c>
      <c r="AD345" t="s">
        <v>74</v>
      </c>
      <c r="AE345" t="s">
        <v>74</v>
      </c>
      <c r="AF345" t="s">
        <v>74</v>
      </c>
      <c r="AG345">
        <v>0</v>
      </c>
      <c r="AH345">
        <v>1</v>
      </c>
      <c r="AI345">
        <v>1</v>
      </c>
      <c r="AJ345">
        <v>0</v>
      </c>
      <c r="AK345">
        <v>0</v>
      </c>
      <c r="AL345" t="s">
        <v>4946</v>
      </c>
      <c r="AM345" t="s">
        <v>4947</v>
      </c>
      <c r="AN345" t="s">
        <v>4948</v>
      </c>
      <c r="AO345" t="s">
        <v>4949</v>
      </c>
      <c r="AP345" t="s">
        <v>74</v>
      </c>
      <c r="AQ345" t="s">
        <v>74</v>
      </c>
      <c r="AR345" t="s">
        <v>4950</v>
      </c>
      <c r="AS345" t="s">
        <v>4951</v>
      </c>
      <c r="AT345" t="s">
        <v>4952</v>
      </c>
      <c r="AU345">
        <v>1998</v>
      </c>
      <c r="AV345">
        <v>160</v>
      </c>
      <c r="AW345">
        <v>2160</v>
      </c>
      <c r="AX345" t="s">
        <v>74</v>
      </c>
      <c r="AY345" t="s">
        <v>74</v>
      </c>
      <c r="AZ345" t="s">
        <v>74</v>
      </c>
      <c r="BA345" t="s">
        <v>74</v>
      </c>
      <c r="BB345">
        <v>27</v>
      </c>
      <c r="BC345">
        <v>27</v>
      </c>
      <c r="BD345" t="s">
        <v>74</v>
      </c>
      <c r="BE345" t="s">
        <v>74</v>
      </c>
      <c r="BF345" t="s">
        <v>74</v>
      </c>
      <c r="BG345" t="s">
        <v>74</v>
      </c>
      <c r="BH345" t="s">
        <v>74</v>
      </c>
      <c r="BI345">
        <v>1</v>
      </c>
      <c r="BJ345" t="s">
        <v>3377</v>
      </c>
      <c r="BK345" t="s">
        <v>95</v>
      </c>
      <c r="BL345" t="s">
        <v>3378</v>
      </c>
      <c r="BM345" t="s">
        <v>4953</v>
      </c>
      <c r="BN345" t="s">
        <v>74</v>
      </c>
      <c r="BO345" t="s">
        <v>74</v>
      </c>
      <c r="BP345" t="s">
        <v>74</v>
      </c>
      <c r="BQ345" t="s">
        <v>74</v>
      </c>
      <c r="BR345" t="s">
        <v>98</v>
      </c>
      <c r="BS345" t="s">
        <v>4954</v>
      </c>
      <c r="BT345" t="str">
        <f>HYPERLINK("https%3A%2F%2Fwww.webofscience.com%2Fwos%2Fwoscc%2Ffull-record%2FWOS:000077081200025","View Full Record in Web of Science")</f>
        <v>View Full Record in Web of Science</v>
      </c>
    </row>
    <row r="346" spans="1:72" x14ac:dyDescent="0.15">
      <c r="A346" t="s">
        <v>72</v>
      </c>
      <c r="B346" t="s">
        <v>4955</v>
      </c>
      <c r="C346" t="s">
        <v>74</v>
      </c>
      <c r="D346" t="s">
        <v>74</v>
      </c>
      <c r="E346" t="s">
        <v>74</v>
      </c>
      <c r="F346" t="s">
        <v>4955</v>
      </c>
      <c r="G346" t="s">
        <v>74</v>
      </c>
      <c r="H346" t="s">
        <v>74</v>
      </c>
      <c r="I346" t="s">
        <v>4956</v>
      </c>
      <c r="J346" t="s">
        <v>3682</v>
      </c>
      <c r="K346" t="s">
        <v>74</v>
      </c>
      <c r="L346" t="s">
        <v>74</v>
      </c>
      <c r="M346" t="s">
        <v>77</v>
      </c>
      <c r="N346" t="s">
        <v>103</v>
      </c>
      <c r="O346" t="s">
        <v>74</v>
      </c>
      <c r="P346" t="s">
        <v>74</v>
      </c>
      <c r="Q346" t="s">
        <v>74</v>
      </c>
      <c r="R346" t="s">
        <v>74</v>
      </c>
      <c r="S346" t="s">
        <v>74</v>
      </c>
      <c r="T346" t="s">
        <v>4957</v>
      </c>
      <c r="U346" t="s">
        <v>4958</v>
      </c>
      <c r="V346" t="s">
        <v>4959</v>
      </c>
      <c r="W346" t="s">
        <v>4960</v>
      </c>
      <c r="X346" t="s">
        <v>4961</v>
      </c>
      <c r="Y346" t="s">
        <v>4962</v>
      </c>
      <c r="Z346" t="s">
        <v>4963</v>
      </c>
      <c r="AA346" t="s">
        <v>4964</v>
      </c>
      <c r="AB346" t="s">
        <v>4965</v>
      </c>
      <c r="AC346" t="s">
        <v>74</v>
      </c>
      <c r="AD346" t="s">
        <v>74</v>
      </c>
      <c r="AE346" t="s">
        <v>74</v>
      </c>
      <c r="AF346" t="s">
        <v>74</v>
      </c>
      <c r="AG346">
        <v>50</v>
      </c>
      <c r="AH346">
        <v>58</v>
      </c>
      <c r="AI346">
        <v>63</v>
      </c>
      <c r="AJ346">
        <v>0</v>
      </c>
      <c r="AK346">
        <v>7</v>
      </c>
      <c r="AL346" t="s">
        <v>1037</v>
      </c>
      <c r="AM346" t="s">
        <v>1038</v>
      </c>
      <c r="AN346" t="s">
        <v>1039</v>
      </c>
      <c r="AO346" t="s">
        <v>3695</v>
      </c>
      <c r="AP346" t="s">
        <v>3710</v>
      </c>
      <c r="AQ346" t="s">
        <v>74</v>
      </c>
      <c r="AR346" t="s">
        <v>3682</v>
      </c>
      <c r="AS346" t="s">
        <v>3696</v>
      </c>
      <c r="AT346" t="s">
        <v>4966</v>
      </c>
      <c r="AU346">
        <v>1998</v>
      </c>
      <c r="AV346">
        <v>296</v>
      </c>
      <c r="AW346" t="s">
        <v>1282</v>
      </c>
      <c r="AX346" t="s">
        <v>74</v>
      </c>
      <c r="AY346" t="s">
        <v>74</v>
      </c>
      <c r="AZ346" t="s">
        <v>74</v>
      </c>
      <c r="BA346" t="s">
        <v>74</v>
      </c>
      <c r="BB346">
        <v>371</v>
      </c>
      <c r="BC346" t="s">
        <v>3164</v>
      </c>
      <c r="BD346" t="s">
        <v>74</v>
      </c>
      <c r="BE346" t="s">
        <v>4967</v>
      </c>
      <c r="BF346" t="str">
        <f>HYPERLINK("http://dx.doi.org/10.1016/S0040-1951(98)00153-X","http://dx.doi.org/10.1016/S0040-1951(98)00153-X")</f>
        <v>http://dx.doi.org/10.1016/S0040-1951(98)00153-X</v>
      </c>
      <c r="BG346" t="s">
        <v>74</v>
      </c>
      <c r="BH346" t="s">
        <v>74</v>
      </c>
      <c r="BI346">
        <v>30</v>
      </c>
      <c r="BJ346" t="s">
        <v>303</v>
      </c>
      <c r="BK346" t="s">
        <v>95</v>
      </c>
      <c r="BL346" t="s">
        <v>303</v>
      </c>
      <c r="BM346" t="s">
        <v>4968</v>
      </c>
      <c r="BN346" t="s">
        <v>74</v>
      </c>
      <c r="BO346" t="s">
        <v>74</v>
      </c>
      <c r="BP346" t="s">
        <v>74</v>
      </c>
      <c r="BQ346" t="s">
        <v>74</v>
      </c>
      <c r="BR346" t="s">
        <v>98</v>
      </c>
      <c r="BS346" t="s">
        <v>4969</v>
      </c>
      <c r="BT346" t="str">
        <f>HYPERLINK("https%3A%2F%2Fwww.webofscience.com%2Fwos%2Fwoscc%2Ffull-record%2FWOS:000077868200008","View Full Record in Web of Science")</f>
        <v>View Full Record in Web of Science</v>
      </c>
    </row>
    <row r="347" spans="1:72" x14ac:dyDescent="0.15">
      <c r="A347" t="s">
        <v>72</v>
      </c>
      <c r="B347" t="s">
        <v>4970</v>
      </c>
      <c r="C347" t="s">
        <v>74</v>
      </c>
      <c r="D347" t="s">
        <v>74</v>
      </c>
      <c r="E347" t="s">
        <v>74</v>
      </c>
      <c r="F347" t="s">
        <v>4970</v>
      </c>
      <c r="G347" t="s">
        <v>74</v>
      </c>
      <c r="H347" t="s">
        <v>74</v>
      </c>
      <c r="I347" t="s">
        <v>4971</v>
      </c>
      <c r="J347" t="s">
        <v>4972</v>
      </c>
      <c r="K347" t="s">
        <v>74</v>
      </c>
      <c r="L347" t="s">
        <v>74</v>
      </c>
      <c r="M347" t="s">
        <v>77</v>
      </c>
      <c r="N347" t="s">
        <v>123</v>
      </c>
      <c r="O347" t="s">
        <v>4973</v>
      </c>
      <c r="P347" t="s">
        <v>4974</v>
      </c>
      <c r="Q347" t="s">
        <v>4975</v>
      </c>
      <c r="R347" t="s">
        <v>74</v>
      </c>
      <c r="S347" t="s">
        <v>74</v>
      </c>
      <c r="T347" t="s">
        <v>4976</v>
      </c>
      <c r="U347" t="s">
        <v>4977</v>
      </c>
      <c r="V347" t="s">
        <v>4978</v>
      </c>
      <c r="W347" t="s">
        <v>4979</v>
      </c>
      <c r="X347" t="s">
        <v>2975</v>
      </c>
      <c r="Y347" t="s">
        <v>4980</v>
      </c>
      <c r="Z347" t="s">
        <v>74</v>
      </c>
      <c r="AA347" t="s">
        <v>74</v>
      </c>
      <c r="AB347" t="s">
        <v>74</v>
      </c>
      <c r="AC347" t="s">
        <v>74</v>
      </c>
      <c r="AD347" t="s">
        <v>74</v>
      </c>
      <c r="AE347" t="s">
        <v>74</v>
      </c>
      <c r="AF347" t="s">
        <v>74</v>
      </c>
      <c r="AG347">
        <v>19</v>
      </c>
      <c r="AH347">
        <v>27</v>
      </c>
      <c r="AI347">
        <v>34</v>
      </c>
      <c r="AJ347">
        <v>1</v>
      </c>
      <c r="AK347">
        <v>6</v>
      </c>
      <c r="AL347" t="s">
        <v>1037</v>
      </c>
      <c r="AM347" t="s">
        <v>1038</v>
      </c>
      <c r="AN347" t="s">
        <v>1039</v>
      </c>
      <c r="AO347" t="s">
        <v>4981</v>
      </c>
      <c r="AP347" t="s">
        <v>74</v>
      </c>
      <c r="AQ347" t="s">
        <v>74</v>
      </c>
      <c r="AR347" t="s">
        <v>4982</v>
      </c>
      <c r="AS347" t="s">
        <v>4983</v>
      </c>
      <c r="AT347" t="s">
        <v>4984</v>
      </c>
      <c r="AU347">
        <v>1998</v>
      </c>
      <c r="AV347">
        <v>422</v>
      </c>
      <c r="AW347">
        <v>1</v>
      </c>
      <c r="AX347" t="s">
        <v>74</v>
      </c>
      <c r="AY347" t="s">
        <v>74</v>
      </c>
      <c r="AZ347" t="s">
        <v>74</v>
      </c>
      <c r="BA347" t="s">
        <v>74</v>
      </c>
      <c r="BB347">
        <v>7</v>
      </c>
      <c r="BC347">
        <v>14</v>
      </c>
      <c r="BD347" t="s">
        <v>74</v>
      </c>
      <c r="BE347" t="s">
        <v>4985</v>
      </c>
      <c r="BF347" t="str">
        <f>HYPERLINK("http://dx.doi.org/10.1016/S0027-5107(98)00180-8","http://dx.doi.org/10.1016/S0027-5107(98)00180-8")</f>
        <v>http://dx.doi.org/10.1016/S0027-5107(98)00180-8</v>
      </c>
      <c r="BG347" t="s">
        <v>74</v>
      </c>
      <c r="BH347" t="s">
        <v>74</v>
      </c>
      <c r="BI347">
        <v>8</v>
      </c>
      <c r="BJ347" t="s">
        <v>4986</v>
      </c>
      <c r="BK347" t="s">
        <v>235</v>
      </c>
      <c r="BL347" t="s">
        <v>4986</v>
      </c>
      <c r="BM347" t="s">
        <v>4987</v>
      </c>
      <c r="BN347">
        <v>9920423</v>
      </c>
      <c r="BO347" t="s">
        <v>74</v>
      </c>
      <c r="BP347" t="s">
        <v>74</v>
      </c>
      <c r="BQ347" t="s">
        <v>74</v>
      </c>
      <c r="BR347" t="s">
        <v>98</v>
      </c>
      <c r="BS347" t="s">
        <v>4988</v>
      </c>
      <c r="BT347" t="str">
        <f>HYPERLINK("https%3A%2F%2Fwww.webofscience.com%2Fwos%2Fwoscc%2Ffull-record%2FWOS:000077562200002","View Full Record in Web of Science")</f>
        <v>View Full Record in Web of Science</v>
      </c>
    </row>
    <row r="348" spans="1:72" x14ac:dyDescent="0.15">
      <c r="A348" t="s">
        <v>72</v>
      </c>
      <c r="B348" t="s">
        <v>4989</v>
      </c>
      <c r="C348" t="s">
        <v>74</v>
      </c>
      <c r="D348" t="s">
        <v>74</v>
      </c>
      <c r="E348" t="s">
        <v>74</v>
      </c>
      <c r="F348" t="s">
        <v>4989</v>
      </c>
      <c r="G348" t="s">
        <v>74</v>
      </c>
      <c r="H348" t="s">
        <v>74</v>
      </c>
      <c r="I348" t="s">
        <v>4990</v>
      </c>
      <c r="J348" t="s">
        <v>4972</v>
      </c>
      <c r="K348" t="s">
        <v>74</v>
      </c>
      <c r="L348" t="s">
        <v>74</v>
      </c>
      <c r="M348" t="s">
        <v>77</v>
      </c>
      <c r="N348" t="s">
        <v>123</v>
      </c>
      <c r="O348" t="s">
        <v>4973</v>
      </c>
      <c r="P348" t="s">
        <v>4974</v>
      </c>
      <c r="Q348" t="s">
        <v>4975</v>
      </c>
      <c r="R348" t="s">
        <v>74</v>
      </c>
      <c r="S348" t="s">
        <v>74</v>
      </c>
      <c r="T348" t="s">
        <v>4991</v>
      </c>
      <c r="U348" t="s">
        <v>4992</v>
      </c>
      <c r="V348" t="s">
        <v>74</v>
      </c>
      <c r="W348" t="s">
        <v>4067</v>
      </c>
      <c r="X348" t="s">
        <v>2975</v>
      </c>
      <c r="Y348" t="s">
        <v>4493</v>
      </c>
      <c r="Z348" t="s">
        <v>4993</v>
      </c>
      <c r="AA348" t="s">
        <v>74</v>
      </c>
      <c r="AB348" t="s">
        <v>74</v>
      </c>
      <c r="AC348" t="s">
        <v>74</v>
      </c>
      <c r="AD348" t="s">
        <v>74</v>
      </c>
      <c r="AE348" t="s">
        <v>74</v>
      </c>
      <c r="AF348" t="s">
        <v>74</v>
      </c>
      <c r="AG348">
        <v>116</v>
      </c>
      <c r="AH348">
        <v>33</v>
      </c>
      <c r="AI348">
        <v>35</v>
      </c>
      <c r="AJ348">
        <v>1</v>
      </c>
      <c r="AK348">
        <v>12</v>
      </c>
      <c r="AL348" t="s">
        <v>1037</v>
      </c>
      <c r="AM348" t="s">
        <v>1038</v>
      </c>
      <c r="AN348" t="s">
        <v>1039</v>
      </c>
      <c r="AO348" t="s">
        <v>4981</v>
      </c>
      <c r="AP348" t="s">
        <v>4994</v>
      </c>
      <c r="AQ348" t="s">
        <v>74</v>
      </c>
      <c r="AR348" t="s">
        <v>4982</v>
      </c>
      <c r="AS348" t="s">
        <v>4983</v>
      </c>
      <c r="AT348" t="s">
        <v>4984</v>
      </c>
      <c r="AU348">
        <v>1998</v>
      </c>
      <c r="AV348">
        <v>422</v>
      </c>
      <c r="AW348">
        <v>1</v>
      </c>
      <c r="AX348" t="s">
        <v>74</v>
      </c>
      <c r="AY348" t="s">
        <v>74</v>
      </c>
      <c r="AZ348" t="s">
        <v>74</v>
      </c>
      <c r="BA348" t="s">
        <v>74</v>
      </c>
      <c r="BB348">
        <v>119</v>
      </c>
      <c r="BC348">
        <v>129</v>
      </c>
      <c r="BD348" t="s">
        <v>74</v>
      </c>
      <c r="BE348" t="s">
        <v>4995</v>
      </c>
      <c r="BF348" t="str">
        <f>HYPERLINK("http://dx.doi.org/10.1016/S0027-5107(98)00183-3","http://dx.doi.org/10.1016/S0027-5107(98)00183-3")</f>
        <v>http://dx.doi.org/10.1016/S0027-5107(98)00183-3</v>
      </c>
      <c r="BG348" t="s">
        <v>74</v>
      </c>
      <c r="BH348" t="s">
        <v>74</v>
      </c>
      <c r="BI348">
        <v>11</v>
      </c>
      <c r="BJ348" t="s">
        <v>4986</v>
      </c>
      <c r="BK348" t="s">
        <v>144</v>
      </c>
      <c r="BL348" t="s">
        <v>4986</v>
      </c>
      <c r="BM348" t="s">
        <v>4987</v>
      </c>
      <c r="BN348">
        <v>9920436</v>
      </c>
      <c r="BO348" t="s">
        <v>74</v>
      </c>
      <c r="BP348" t="s">
        <v>74</v>
      </c>
      <c r="BQ348" t="s">
        <v>74</v>
      </c>
      <c r="BR348" t="s">
        <v>98</v>
      </c>
      <c r="BS348" t="s">
        <v>4996</v>
      </c>
      <c r="BT348" t="str">
        <f>HYPERLINK("https%3A%2F%2Fwww.webofscience.com%2Fwos%2Fwoscc%2Ffull-record%2FWOS:000077562200015","View Full Record in Web of Science")</f>
        <v>View Full Record in Web of Science</v>
      </c>
    </row>
    <row r="349" spans="1:72" x14ac:dyDescent="0.15">
      <c r="A349" t="s">
        <v>72</v>
      </c>
      <c r="B349" t="s">
        <v>4997</v>
      </c>
      <c r="C349" t="s">
        <v>74</v>
      </c>
      <c r="D349" t="s">
        <v>74</v>
      </c>
      <c r="E349" t="s">
        <v>74</v>
      </c>
      <c r="F349" t="s">
        <v>4997</v>
      </c>
      <c r="G349" t="s">
        <v>74</v>
      </c>
      <c r="H349" t="s">
        <v>74</v>
      </c>
      <c r="I349" t="s">
        <v>4998</v>
      </c>
      <c r="J349" t="s">
        <v>4999</v>
      </c>
      <c r="K349" t="s">
        <v>74</v>
      </c>
      <c r="L349" t="s">
        <v>74</v>
      </c>
      <c r="M349" t="s">
        <v>290</v>
      </c>
      <c r="N349" t="s">
        <v>103</v>
      </c>
      <c r="O349" t="s">
        <v>74</v>
      </c>
      <c r="P349" t="s">
        <v>74</v>
      </c>
      <c r="Q349" t="s">
        <v>74</v>
      </c>
      <c r="R349" t="s">
        <v>74</v>
      </c>
      <c r="S349" t="s">
        <v>74</v>
      </c>
      <c r="T349" t="s">
        <v>5000</v>
      </c>
      <c r="U349" t="s">
        <v>5001</v>
      </c>
      <c r="V349" t="s">
        <v>5002</v>
      </c>
      <c r="W349" t="s">
        <v>5003</v>
      </c>
      <c r="X349" t="s">
        <v>5004</v>
      </c>
      <c r="Y349" t="s">
        <v>5005</v>
      </c>
      <c r="Z349" t="s">
        <v>74</v>
      </c>
      <c r="AA349" t="s">
        <v>5006</v>
      </c>
      <c r="AB349" t="s">
        <v>5007</v>
      </c>
      <c r="AC349" t="s">
        <v>74</v>
      </c>
      <c r="AD349" t="s">
        <v>74</v>
      </c>
      <c r="AE349" t="s">
        <v>74</v>
      </c>
      <c r="AF349" t="s">
        <v>74</v>
      </c>
      <c r="AG349">
        <v>33</v>
      </c>
      <c r="AH349">
        <v>14</v>
      </c>
      <c r="AI349">
        <v>14</v>
      </c>
      <c r="AJ349">
        <v>0</v>
      </c>
      <c r="AK349">
        <v>3</v>
      </c>
      <c r="AL349" t="s">
        <v>5008</v>
      </c>
      <c r="AM349" t="s">
        <v>298</v>
      </c>
      <c r="AN349" t="s">
        <v>5009</v>
      </c>
      <c r="AO349" t="s">
        <v>5010</v>
      </c>
      <c r="AP349" t="s">
        <v>74</v>
      </c>
      <c r="AQ349" t="s">
        <v>74</v>
      </c>
      <c r="AR349" t="s">
        <v>5011</v>
      </c>
      <c r="AS349" t="s">
        <v>5012</v>
      </c>
      <c r="AT349" t="s">
        <v>5013</v>
      </c>
      <c r="AU349">
        <v>1998</v>
      </c>
      <c r="AV349">
        <v>14</v>
      </c>
      <c r="AW349">
        <v>11</v>
      </c>
      <c r="AX349" t="s">
        <v>74</v>
      </c>
      <c r="AY349" t="s">
        <v>74</v>
      </c>
      <c r="AZ349" t="s">
        <v>74</v>
      </c>
      <c r="BA349" t="s">
        <v>74</v>
      </c>
      <c r="BB349">
        <v>988</v>
      </c>
      <c r="BC349">
        <v>994</v>
      </c>
      <c r="BD349" t="s">
        <v>74</v>
      </c>
      <c r="BE349" t="s">
        <v>5014</v>
      </c>
      <c r="BF349" t="str">
        <f>HYPERLINK("http://dx.doi.org/10.3866/PKU.WHXB19981106","http://dx.doi.org/10.3866/PKU.WHXB19981106")</f>
        <v>http://dx.doi.org/10.3866/PKU.WHXB19981106</v>
      </c>
      <c r="BG349" t="s">
        <v>74</v>
      </c>
      <c r="BH349" t="s">
        <v>74</v>
      </c>
      <c r="BI349">
        <v>7</v>
      </c>
      <c r="BJ349" t="s">
        <v>5015</v>
      </c>
      <c r="BK349" t="s">
        <v>95</v>
      </c>
      <c r="BL349" t="s">
        <v>1284</v>
      </c>
      <c r="BM349" t="s">
        <v>5016</v>
      </c>
      <c r="BN349" t="s">
        <v>74</v>
      </c>
      <c r="BO349" t="s">
        <v>74</v>
      </c>
      <c r="BP349" t="s">
        <v>74</v>
      </c>
      <c r="BQ349" t="s">
        <v>74</v>
      </c>
      <c r="BR349" t="s">
        <v>98</v>
      </c>
      <c r="BS349" t="s">
        <v>5017</v>
      </c>
      <c r="BT349" t="str">
        <f>HYPERLINK("https%3A%2F%2Fwww.webofscience.com%2Fwos%2Fwoscc%2Ffull-record%2FWOS:000077400300006","View Full Record in Web of Science")</f>
        <v>View Full Record in Web of Science</v>
      </c>
    </row>
    <row r="350" spans="1:72" x14ac:dyDescent="0.15">
      <c r="A350" t="s">
        <v>72</v>
      </c>
      <c r="B350" t="s">
        <v>5018</v>
      </c>
      <c r="C350" t="s">
        <v>74</v>
      </c>
      <c r="D350" t="s">
        <v>74</v>
      </c>
      <c r="E350" t="s">
        <v>74</v>
      </c>
      <c r="F350" t="s">
        <v>5018</v>
      </c>
      <c r="G350" t="s">
        <v>74</v>
      </c>
      <c r="H350" t="s">
        <v>74</v>
      </c>
      <c r="I350" t="s">
        <v>5019</v>
      </c>
      <c r="J350" t="s">
        <v>5020</v>
      </c>
      <c r="K350" t="s">
        <v>74</v>
      </c>
      <c r="L350" t="s">
        <v>74</v>
      </c>
      <c r="M350" t="s">
        <v>77</v>
      </c>
      <c r="N350" t="s">
        <v>103</v>
      </c>
      <c r="O350" t="s">
        <v>74</v>
      </c>
      <c r="P350" t="s">
        <v>74</v>
      </c>
      <c r="Q350" t="s">
        <v>74</v>
      </c>
      <c r="R350" t="s">
        <v>74</v>
      </c>
      <c r="S350" t="s">
        <v>74</v>
      </c>
      <c r="T350" t="s">
        <v>5021</v>
      </c>
      <c r="U350" t="s">
        <v>5022</v>
      </c>
      <c r="V350" t="s">
        <v>5023</v>
      </c>
      <c r="W350" t="s">
        <v>944</v>
      </c>
      <c r="X350" t="s">
        <v>628</v>
      </c>
      <c r="Y350" t="s">
        <v>5024</v>
      </c>
      <c r="Z350" t="s">
        <v>2009</v>
      </c>
      <c r="AA350" t="s">
        <v>74</v>
      </c>
      <c r="AB350" t="s">
        <v>74</v>
      </c>
      <c r="AC350" t="s">
        <v>74</v>
      </c>
      <c r="AD350" t="s">
        <v>74</v>
      </c>
      <c r="AE350" t="s">
        <v>74</v>
      </c>
      <c r="AF350" t="s">
        <v>74</v>
      </c>
      <c r="AG350">
        <v>66</v>
      </c>
      <c r="AH350">
        <v>72</v>
      </c>
      <c r="AI350">
        <v>82</v>
      </c>
      <c r="AJ350">
        <v>4</v>
      </c>
      <c r="AK350">
        <v>27</v>
      </c>
      <c r="AL350" t="s">
        <v>5025</v>
      </c>
      <c r="AM350" t="s">
        <v>5026</v>
      </c>
      <c r="AN350" t="s">
        <v>5027</v>
      </c>
      <c r="AO350" t="s">
        <v>5028</v>
      </c>
      <c r="AP350" t="s">
        <v>74</v>
      </c>
      <c r="AQ350" t="s">
        <v>74</v>
      </c>
      <c r="AR350" t="s">
        <v>5029</v>
      </c>
      <c r="AS350" t="s">
        <v>5030</v>
      </c>
      <c r="AT350" t="s">
        <v>5013</v>
      </c>
      <c r="AU350">
        <v>1998</v>
      </c>
      <c r="AV350">
        <v>152</v>
      </c>
      <c r="AW350">
        <v>5</v>
      </c>
      <c r="AX350" t="s">
        <v>74</v>
      </c>
      <c r="AY350" t="s">
        <v>74</v>
      </c>
      <c r="AZ350" t="s">
        <v>74</v>
      </c>
      <c r="BA350" t="s">
        <v>74</v>
      </c>
      <c r="BB350">
        <v>717</v>
      </c>
      <c r="BC350">
        <v>728</v>
      </c>
      <c r="BD350" t="s">
        <v>74</v>
      </c>
      <c r="BE350" t="s">
        <v>5031</v>
      </c>
      <c r="BF350" t="str">
        <f>HYPERLINK("http://dx.doi.org/10.1086/286202","http://dx.doi.org/10.1086/286202")</f>
        <v>http://dx.doi.org/10.1086/286202</v>
      </c>
      <c r="BG350" t="s">
        <v>74</v>
      </c>
      <c r="BH350" t="s">
        <v>74</v>
      </c>
      <c r="BI350">
        <v>12</v>
      </c>
      <c r="BJ350" t="s">
        <v>5032</v>
      </c>
      <c r="BK350" t="s">
        <v>95</v>
      </c>
      <c r="BL350" t="s">
        <v>5033</v>
      </c>
      <c r="BM350" t="s">
        <v>5034</v>
      </c>
      <c r="BN350">
        <v>18811346</v>
      </c>
      <c r="BO350" t="s">
        <v>74</v>
      </c>
      <c r="BP350" t="s">
        <v>74</v>
      </c>
      <c r="BQ350" t="s">
        <v>74</v>
      </c>
      <c r="BR350" t="s">
        <v>98</v>
      </c>
      <c r="BS350" t="s">
        <v>5035</v>
      </c>
      <c r="BT350" t="str">
        <f>HYPERLINK("https%3A%2F%2Fwww.webofscience.com%2Fwos%2Fwoscc%2Ffull-record%2FWOS:000076785900006","View Full Record in Web of Science")</f>
        <v>View Full Record in Web of Science</v>
      </c>
    </row>
    <row r="351" spans="1:72" x14ac:dyDescent="0.15">
      <c r="A351" t="s">
        <v>72</v>
      </c>
      <c r="B351" t="s">
        <v>5036</v>
      </c>
      <c r="C351" t="s">
        <v>74</v>
      </c>
      <c r="D351" t="s">
        <v>74</v>
      </c>
      <c r="E351" t="s">
        <v>74</v>
      </c>
      <c r="F351" t="s">
        <v>5036</v>
      </c>
      <c r="G351" t="s">
        <v>74</v>
      </c>
      <c r="H351" t="s">
        <v>74</v>
      </c>
      <c r="I351" t="s">
        <v>5037</v>
      </c>
      <c r="J351" t="s">
        <v>3936</v>
      </c>
      <c r="K351" t="s">
        <v>74</v>
      </c>
      <c r="L351" t="s">
        <v>74</v>
      </c>
      <c r="M351" t="s">
        <v>77</v>
      </c>
      <c r="N351" t="s">
        <v>103</v>
      </c>
      <c r="O351" t="s">
        <v>74</v>
      </c>
      <c r="P351" t="s">
        <v>74</v>
      </c>
      <c r="Q351" t="s">
        <v>74</v>
      </c>
      <c r="R351" t="s">
        <v>74</v>
      </c>
      <c r="S351" t="s">
        <v>74</v>
      </c>
      <c r="T351" t="s">
        <v>5038</v>
      </c>
      <c r="U351" t="s">
        <v>5039</v>
      </c>
      <c r="V351" t="s">
        <v>5040</v>
      </c>
      <c r="W351" t="s">
        <v>5041</v>
      </c>
      <c r="X351" t="s">
        <v>3906</v>
      </c>
      <c r="Y351" t="s">
        <v>5042</v>
      </c>
      <c r="Z351" t="s">
        <v>74</v>
      </c>
      <c r="AA351" t="s">
        <v>5043</v>
      </c>
      <c r="AB351" t="s">
        <v>5044</v>
      </c>
      <c r="AC351" t="s">
        <v>74</v>
      </c>
      <c r="AD351" t="s">
        <v>74</v>
      </c>
      <c r="AE351" t="s">
        <v>74</v>
      </c>
      <c r="AF351" t="s">
        <v>74</v>
      </c>
      <c r="AG351">
        <v>25</v>
      </c>
      <c r="AH351">
        <v>30</v>
      </c>
      <c r="AI351">
        <v>32</v>
      </c>
      <c r="AJ351">
        <v>0</v>
      </c>
      <c r="AK351">
        <v>1</v>
      </c>
      <c r="AL351" t="s">
        <v>887</v>
      </c>
      <c r="AM351" t="s">
        <v>278</v>
      </c>
      <c r="AN351" t="s">
        <v>888</v>
      </c>
      <c r="AO351" t="s">
        <v>3943</v>
      </c>
      <c r="AP351" t="s">
        <v>74</v>
      </c>
      <c r="AQ351" t="s">
        <v>74</v>
      </c>
      <c r="AR351" t="s">
        <v>3944</v>
      </c>
      <c r="AS351" t="s">
        <v>3945</v>
      </c>
      <c r="AT351" t="s">
        <v>5013</v>
      </c>
      <c r="AU351">
        <v>1998</v>
      </c>
      <c r="AV351">
        <v>16</v>
      </c>
      <c r="AW351">
        <v>11</v>
      </c>
      <c r="AX351" t="s">
        <v>74</v>
      </c>
      <c r="AY351" t="s">
        <v>74</v>
      </c>
      <c r="AZ351" t="s">
        <v>74</v>
      </c>
      <c r="BA351" t="s">
        <v>74</v>
      </c>
      <c r="BB351">
        <v>1486</v>
      </c>
      <c r="BC351">
        <v>1500</v>
      </c>
      <c r="BD351" t="s">
        <v>74</v>
      </c>
      <c r="BE351" t="s">
        <v>5045</v>
      </c>
      <c r="BF351" t="str">
        <f>HYPERLINK("http://dx.doi.org/10.1007/s00585-998-1486-7","http://dx.doi.org/10.1007/s00585-998-1486-7")</f>
        <v>http://dx.doi.org/10.1007/s00585-998-1486-7</v>
      </c>
      <c r="BG351" t="s">
        <v>74</v>
      </c>
      <c r="BH351" t="s">
        <v>74</v>
      </c>
      <c r="BI351">
        <v>15</v>
      </c>
      <c r="BJ351" t="s">
        <v>3948</v>
      </c>
      <c r="BK351" t="s">
        <v>95</v>
      </c>
      <c r="BL351" t="s">
        <v>3949</v>
      </c>
      <c r="BM351" t="s">
        <v>5046</v>
      </c>
      <c r="BN351" t="s">
        <v>74</v>
      </c>
      <c r="BO351" t="s">
        <v>3951</v>
      </c>
      <c r="BP351" t="s">
        <v>74</v>
      </c>
      <c r="BQ351" t="s">
        <v>74</v>
      </c>
      <c r="BR351" t="s">
        <v>98</v>
      </c>
      <c r="BS351" t="s">
        <v>5047</v>
      </c>
      <c r="BT351" t="str">
        <f>HYPERLINK("https%3A%2F%2Fwww.webofscience.com%2Fwos%2Fwoscc%2Ffull-record%2FWOS:000077177400008","View Full Record in Web of Science")</f>
        <v>View Full Record in Web of Science</v>
      </c>
    </row>
    <row r="352" spans="1:72" x14ac:dyDescent="0.15">
      <c r="A352" t="s">
        <v>72</v>
      </c>
      <c r="B352" t="s">
        <v>5048</v>
      </c>
      <c r="C352" t="s">
        <v>74</v>
      </c>
      <c r="D352" t="s">
        <v>74</v>
      </c>
      <c r="E352" t="s">
        <v>74</v>
      </c>
      <c r="F352" t="s">
        <v>5048</v>
      </c>
      <c r="G352" t="s">
        <v>74</v>
      </c>
      <c r="H352" t="s">
        <v>74</v>
      </c>
      <c r="I352" t="s">
        <v>5049</v>
      </c>
      <c r="J352" t="s">
        <v>5050</v>
      </c>
      <c r="K352" t="s">
        <v>74</v>
      </c>
      <c r="L352" t="s">
        <v>74</v>
      </c>
      <c r="M352" t="s">
        <v>77</v>
      </c>
      <c r="N352" t="s">
        <v>103</v>
      </c>
      <c r="O352" t="s">
        <v>74</v>
      </c>
      <c r="P352" t="s">
        <v>74</v>
      </c>
      <c r="Q352" t="s">
        <v>74</v>
      </c>
      <c r="R352" t="s">
        <v>74</v>
      </c>
      <c r="S352" t="s">
        <v>74</v>
      </c>
      <c r="T352" t="s">
        <v>5051</v>
      </c>
      <c r="U352" t="s">
        <v>74</v>
      </c>
      <c r="V352" t="s">
        <v>5052</v>
      </c>
      <c r="W352" t="s">
        <v>5053</v>
      </c>
      <c r="X352" t="s">
        <v>5054</v>
      </c>
      <c r="Y352" t="s">
        <v>5055</v>
      </c>
      <c r="Z352" t="s">
        <v>74</v>
      </c>
      <c r="AA352" t="s">
        <v>74</v>
      </c>
      <c r="AB352" t="s">
        <v>5056</v>
      </c>
      <c r="AC352" t="s">
        <v>74</v>
      </c>
      <c r="AD352" t="s">
        <v>74</v>
      </c>
      <c r="AE352" t="s">
        <v>74</v>
      </c>
      <c r="AF352" t="s">
        <v>74</v>
      </c>
      <c r="AG352">
        <v>9</v>
      </c>
      <c r="AH352">
        <v>5</v>
      </c>
      <c r="AI352">
        <v>5</v>
      </c>
      <c r="AJ352">
        <v>0</v>
      </c>
      <c r="AK352">
        <v>2</v>
      </c>
      <c r="AL352" t="s">
        <v>5057</v>
      </c>
      <c r="AM352" t="s">
        <v>5058</v>
      </c>
      <c r="AN352" t="s">
        <v>5059</v>
      </c>
      <c r="AO352" t="s">
        <v>5060</v>
      </c>
      <c r="AP352" t="s">
        <v>74</v>
      </c>
      <c r="AQ352" t="s">
        <v>74</v>
      </c>
      <c r="AR352" t="s">
        <v>5061</v>
      </c>
      <c r="AS352" t="s">
        <v>5062</v>
      </c>
      <c r="AT352" t="s">
        <v>5063</v>
      </c>
      <c r="AU352">
        <v>1998</v>
      </c>
      <c r="AV352">
        <v>41</v>
      </c>
      <c r="AW352" t="s">
        <v>5064</v>
      </c>
      <c r="AX352" t="s">
        <v>74</v>
      </c>
      <c r="AY352" t="s">
        <v>74</v>
      </c>
      <c r="AZ352" t="s">
        <v>74</v>
      </c>
      <c r="BA352" t="s">
        <v>74</v>
      </c>
      <c r="BB352">
        <v>813</v>
      </c>
      <c r="BC352">
        <v>818</v>
      </c>
      <c r="BD352" t="s">
        <v>74</v>
      </c>
      <c r="BE352" t="s">
        <v>74</v>
      </c>
      <c r="BF352" t="s">
        <v>74</v>
      </c>
      <c r="BG352" t="s">
        <v>74</v>
      </c>
      <c r="BH352" t="s">
        <v>74</v>
      </c>
      <c r="BI352">
        <v>6</v>
      </c>
      <c r="BJ352" t="s">
        <v>303</v>
      </c>
      <c r="BK352" t="s">
        <v>95</v>
      </c>
      <c r="BL352" t="s">
        <v>303</v>
      </c>
      <c r="BM352" t="s">
        <v>5065</v>
      </c>
      <c r="BN352" t="s">
        <v>74</v>
      </c>
      <c r="BO352" t="s">
        <v>74</v>
      </c>
      <c r="BP352" t="s">
        <v>74</v>
      </c>
      <c r="BQ352" t="s">
        <v>74</v>
      </c>
      <c r="BR352" t="s">
        <v>98</v>
      </c>
      <c r="BS352" t="s">
        <v>5066</v>
      </c>
      <c r="BT352" t="str">
        <f>HYPERLINK("https%3A%2F%2Fwww.webofscience.com%2Fwos%2Fwoscc%2Ffull-record%2FWOS:000079055600014","View Full Record in Web of Science")</f>
        <v>View Full Record in Web of Science</v>
      </c>
    </row>
    <row r="353" spans="1:72" x14ac:dyDescent="0.15">
      <c r="A353" t="s">
        <v>72</v>
      </c>
      <c r="B353" t="s">
        <v>5067</v>
      </c>
      <c r="C353" t="s">
        <v>74</v>
      </c>
      <c r="D353" t="s">
        <v>74</v>
      </c>
      <c r="E353" t="s">
        <v>74</v>
      </c>
      <c r="F353" t="s">
        <v>5067</v>
      </c>
      <c r="G353" t="s">
        <v>74</v>
      </c>
      <c r="H353" t="s">
        <v>74</v>
      </c>
      <c r="I353" t="s">
        <v>5068</v>
      </c>
      <c r="J353" t="s">
        <v>5069</v>
      </c>
      <c r="K353" t="s">
        <v>74</v>
      </c>
      <c r="L353" t="s">
        <v>74</v>
      </c>
      <c r="M353" t="s">
        <v>77</v>
      </c>
      <c r="N353" t="s">
        <v>103</v>
      </c>
      <c r="O353" t="s">
        <v>74</v>
      </c>
      <c r="P353" t="s">
        <v>74</v>
      </c>
      <c r="Q353" t="s">
        <v>74</v>
      </c>
      <c r="R353" t="s">
        <v>74</v>
      </c>
      <c r="S353" t="s">
        <v>74</v>
      </c>
      <c r="T353" t="s">
        <v>5070</v>
      </c>
      <c r="U353" t="s">
        <v>5071</v>
      </c>
      <c r="V353" t="s">
        <v>5072</v>
      </c>
      <c r="W353" t="s">
        <v>5073</v>
      </c>
      <c r="X353" t="s">
        <v>5074</v>
      </c>
      <c r="Y353" t="s">
        <v>5075</v>
      </c>
      <c r="Z353" t="s">
        <v>74</v>
      </c>
      <c r="AA353" t="s">
        <v>74</v>
      </c>
      <c r="AB353" t="s">
        <v>74</v>
      </c>
      <c r="AC353" t="s">
        <v>74</v>
      </c>
      <c r="AD353" t="s">
        <v>74</v>
      </c>
      <c r="AE353" t="s">
        <v>74</v>
      </c>
      <c r="AF353" t="s">
        <v>74</v>
      </c>
      <c r="AG353">
        <v>12</v>
      </c>
      <c r="AH353">
        <v>7</v>
      </c>
      <c r="AI353">
        <v>8</v>
      </c>
      <c r="AJ353">
        <v>0</v>
      </c>
      <c r="AK353">
        <v>0</v>
      </c>
      <c r="AL353" t="s">
        <v>445</v>
      </c>
      <c r="AM353" t="s">
        <v>229</v>
      </c>
      <c r="AN353" t="s">
        <v>446</v>
      </c>
      <c r="AO353" t="s">
        <v>5076</v>
      </c>
      <c r="AP353" t="s">
        <v>74</v>
      </c>
      <c r="AQ353" t="s">
        <v>74</v>
      </c>
      <c r="AR353" t="s">
        <v>5077</v>
      </c>
      <c r="AS353" t="s">
        <v>5078</v>
      </c>
      <c r="AT353" t="s">
        <v>5013</v>
      </c>
      <c r="AU353">
        <v>1998</v>
      </c>
      <c r="AV353">
        <v>32</v>
      </c>
      <c r="AW353">
        <v>21</v>
      </c>
      <c r="AX353" t="s">
        <v>74</v>
      </c>
      <c r="AY353" t="s">
        <v>74</v>
      </c>
      <c r="AZ353" t="s">
        <v>74</v>
      </c>
      <c r="BA353" t="s">
        <v>74</v>
      </c>
      <c r="BB353">
        <v>3665</v>
      </c>
      <c r="BC353">
        <v>3668</v>
      </c>
      <c r="BD353" t="s">
        <v>74</v>
      </c>
      <c r="BE353" t="s">
        <v>5079</v>
      </c>
      <c r="BF353" t="str">
        <f>HYPERLINK("http://dx.doi.org/10.1016/S1352-2310(98)00087-9","http://dx.doi.org/10.1016/S1352-2310(98)00087-9")</f>
        <v>http://dx.doi.org/10.1016/S1352-2310(98)00087-9</v>
      </c>
      <c r="BG353" t="s">
        <v>74</v>
      </c>
      <c r="BH353" t="s">
        <v>74</v>
      </c>
      <c r="BI353">
        <v>4</v>
      </c>
      <c r="BJ353" t="s">
        <v>1374</v>
      </c>
      <c r="BK353" t="s">
        <v>95</v>
      </c>
      <c r="BL353" t="s">
        <v>1375</v>
      </c>
      <c r="BM353" t="s">
        <v>5080</v>
      </c>
      <c r="BN353" t="s">
        <v>74</v>
      </c>
      <c r="BO353" t="s">
        <v>74</v>
      </c>
      <c r="BP353" t="s">
        <v>74</v>
      </c>
      <c r="BQ353" t="s">
        <v>74</v>
      </c>
      <c r="BR353" t="s">
        <v>98</v>
      </c>
      <c r="BS353" t="s">
        <v>5081</v>
      </c>
      <c r="BT353" t="str">
        <f>HYPERLINK("https%3A%2F%2Fwww.webofscience.com%2Fwos%2Fwoscc%2Ffull-record%2FWOS:000076160900005","View Full Record in Web of Science")</f>
        <v>View Full Record in Web of Science</v>
      </c>
    </row>
    <row r="354" spans="1:72" x14ac:dyDescent="0.15">
      <c r="A354" t="s">
        <v>72</v>
      </c>
      <c r="B354" t="s">
        <v>5082</v>
      </c>
      <c r="C354" t="s">
        <v>74</v>
      </c>
      <c r="D354" t="s">
        <v>74</v>
      </c>
      <c r="E354" t="s">
        <v>74</v>
      </c>
      <c r="F354" t="s">
        <v>5082</v>
      </c>
      <c r="G354" t="s">
        <v>74</v>
      </c>
      <c r="H354" t="s">
        <v>74</v>
      </c>
      <c r="I354" t="s">
        <v>5083</v>
      </c>
      <c r="J354" t="s">
        <v>5069</v>
      </c>
      <c r="K354" t="s">
        <v>74</v>
      </c>
      <c r="L354" t="s">
        <v>74</v>
      </c>
      <c r="M354" t="s">
        <v>77</v>
      </c>
      <c r="N354" t="s">
        <v>103</v>
      </c>
      <c r="O354" t="s">
        <v>74</v>
      </c>
      <c r="P354" t="s">
        <v>74</v>
      </c>
      <c r="Q354" t="s">
        <v>74</v>
      </c>
      <c r="R354" t="s">
        <v>74</v>
      </c>
      <c r="S354" t="s">
        <v>74</v>
      </c>
      <c r="T354" t="s">
        <v>5084</v>
      </c>
      <c r="U354" t="s">
        <v>5085</v>
      </c>
      <c r="V354" t="s">
        <v>5086</v>
      </c>
      <c r="W354" t="s">
        <v>944</v>
      </c>
      <c r="X354" t="s">
        <v>628</v>
      </c>
      <c r="Y354" t="s">
        <v>2008</v>
      </c>
      <c r="Z354" t="s">
        <v>74</v>
      </c>
      <c r="AA354" t="s">
        <v>5087</v>
      </c>
      <c r="AB354" t="s">
        <v>5088</v>
      </c>
      <c r="AC354" t="s">
        <v>74</v>
      </c>
      <c r="AD354" t="s">
        <v>74</v>
      </c>
      <c r="AE354" t="s">
        <v>74</v>
      </c>
      <c r="AF354" t="s">
        <v>74</v>
      </c>
      <c r="AG354">
        <v>38</v>
      </c>
      <c r="AH354">
        <v>63</v>
      </c>
      <c r="AI354">
        <v>75</v>
      </c>
      <c r="AJ354">
        <v>1</v>
      </c>
      <c r="AK354">
        <v>15</v>
      </c>
      <c r="AL354" t="s">
        <v>445</v>
      </c>
      <c r="AM354" t="s">
        <v>229</v>
      </c>
      <c r="AN354" t="s">
        <v>446</v>
      </c>
      <c r="AO354" t="s">
        <v>5076</v>
      </c>
      <c r="AP354" t="s">
        <v>5089</v>
      </c>
      <c r="AQ354" t="s">
        <v>74</v>
      </c>
      <c r="AR354" t="s">
        <v>5077</v>
      </c>
      <c r="AS354" t="s">
        <v>5078</v>
      </c>
      <c r="AT354" t="s">
        <v>5013</v>
      </c>
      <c r="AU354">
        <v>1998</v>
      </c>
      <c r="AV354">
        <v>32</v>
      </c>
      <c r="AW354">
        <v>21</v>
      </c>
      <c r="AX354" t="s">
        <v>74</v>
      </c>
      <c r="AY354" t="s">
        <v>74</v>
      </c>
      <c r="AZ354" t="s">
        <v>74</v>
      </c>
      <c r="BA354" t="s">
        <v>74</v>
      </c>
      <c r="BB354">
        <v>3669</v>
      </c>
      <c r="BC354">
        <v>3677</v>
      </c>
      <c r="BD354" t="s">
        <v>74</v>
      </c>
      <c r="BE354" t="s">
        <v>5090</v>
      </c>
      <c r="BF354" t="str">
        <f>HYPERLINK("http://dx.doi.org/10.1016/S1352-2310(98)00090-9","http://dx.doi.org/10.1016/S1352-2310(98)00090-9")</f>
        <v>http://dx.doi.org/10.1016/S1352-2310(98)00090-9</v>
      </c>
      <c r="BG354" t="s">
        <v>74</v>
      </c>
      <c r="BH354" t="s">
        <v>74</v>
      </c>
      <c r="BI354">
        <v>9</v>
      </c>
      <c r="BJ354" t="s">
        <v>1374</v>
      </c>
      <c r="BK354" t="s">
        <v>95</v>
      </c>
      <c r="BL354" t="s">
        <v>1375</v>
      </c>
      <c r="BM354" t="s">
        <v>5080</v>
      </c>
      <c r="BN354" t="s">
        <v>74</v>
      </c>
      <c r="BO354" t="s">
        <v>74</v>
      </c>
      <c r="BP354" t="s">
        <v>74</v>
      </c>
      <c r="BQ354" t="s">
        <v>74</v>
      </c>
      <c r="BR354" t="s">
        <v>98</v>
      </c>
      <c r="BS354" t="s">
        <v>5091</v>
      </c>
      <c r="BT354" t="str">
        <f>HYPERLINK("https%3A%2F%2Fwww.webofscience.com%2Fwos%2Fwoscc%2Ffull-record%2FWOS:000076160900006","View Full Record in Web of Science")</f>
        <v>View Full Record in Web of Science</v>
      </c>
    </row>
    <row r="355" spans="1:72" x14ac:dyDescent="0.15">
      <c r="A355" t="s">
        <v>72</v>
      </c>
      <c r="B355" t="s">
        <v>5092</v>
      </c>
      <c r="C355" t="s">
        <v>74</v>
      </c>
      <c r="D355" t="s">
        <v>74</v>
      </c>
      <c r="E355" t="s">
        <v>74</v>
      </c>
      <c r="F355" t="s">
        <v>5092</v>
      </c>
      <c r="G355" t="s">
        <v>74</v>
      </c>
      <c r="H355" t="s">
        <v>74</v>
      </c>
      <c r="I355" t="s">
        <v>5093</v>
      </c>
      <c r="J355" t="s">
        <v>5069</v>
      </c>
      <c r="K355" t="s">
        <v>74</v>
      </c>
      <c r="L355" t="s">
        <v>74</v>
      </c>
      <c r="M355" t="s">
        <v>77</v>
      </c>
      <c r="N355" t="s">
        <v>103</v>
      </c>
      <c r="O355" t="s">
        <v>74</v>
      </c>
      <c r="P355" t="s">
        <v>74</v>
      </c>
      <c r="Q355" t="s">
        <v>74</v>
      </c>
      <c r="R355" t="s">
        <v>74</v>
      </c>
      <c r="S355" t="s">
        <v>74</v>
      </c>
      <c r="T355" t="s">
        <v>5094</v>
      </c>
      <c r="U355" t="s">
        <v>5095</v>
      </c>
      <c r="V355" t="s">
        <v>5096</v>
      </c>
      <c r="W355" t="s">
        <v>5097</v>
      </c>
      <c r="X355" t="s">
        <v>5098</v>
      </c>
      <c r="Y355" t="s">
        <v>5099</v>
      </c>
      <c r="Z355" t="s">
        <v>74</v>
      </c>
      <c r="AA355" t="s">
        <v>74</v>
      </c>
      <c r="AB355" t="s">
        <v>5100</v>
      </c>
      <c r="AC355" t="s">
        <v>74</v>
      </c>
      <c r="AD355" t="s">
        <v>74</v>
      </c>
      <c r="AE355" t="s">
        <v>74</v>
      </c>
      <c r="AF355" t="s">
        <v>74</v>
      </c>
      <c r="AG355">
        <v>32</v>
      </c>
      <c r="AH355">
        <v>45</v>
      </c>
      <c r="AI355">
        <v>48</v>
      </c>
      <c r="AJ355">
        <v>0</v>
      </c>
      <c r="AK355">
        <v>20</v>
      </c>
      <c r="AL355" t="s">
        <v>445</v>
      </c>
      <c r="AM355" t="s">
        <v>229</v>
      </c>
      <c r="AN355" t="s">
        <v>446</v>
      </c>
      <c r="AO355" t="s">
        <v>5076</v>
      </c>
      <c r="AP355" t="s">
        <v>74</v>
      </c>
      <c r="AQ355" t="s">
        <v>74</v>
      </c>
      <c r="AR355" t="s">
        <v>5077</v>
      </c>
      <c r="AS355" t="s">
        <v>5078</v>
      </c>
      <c r="AT355" t="s">
        <v>5013</v>
      </c>
      <c r="AU355">
        <v>1998</v>
      </c>
      <c r="AV355">
        <v>32</v>
      </c>
      <c r="AW355">
        <v>21</v>
      </c>
      <c r="AX355" t="s">
        <v>74</v>
      </c>
      <c r="AY355" t="s">
        <v>74</v>
      </c>
      <c r="AZ355" t="s">
        <v>74</v>
      </c>
      <c r="BA355" t="s">
        <v>74</v>
      </c>
      <c r="BB355">
        <v>3689</v>
      </c>
      <c r="BC355">
        <v>3702</v>
      </c>
      <c r="BD355" t="s">
        <v>74</v>
      </c>
      <c r="BE355" t="s">
        <v>5101</v>
      </c>
      <c r="BF355" t="str">
        <f>HYPERLINK("http://dx.doi.org/10.1016/S1352-2310(98)00092-2","http://dx.doi.org/10.1016/S1352-2310(98)00092-2")</f>
        <v>http://dx.doi.org/10.1016/S1352-2310(98)00092-2</v>
      </c>
      <c r="BG355" t="s">
        <v>74</v>
      </c>
      <c r="BH355" t="s">
        <v>74</v>
      </c>
      <c r="BI355">
        <v>14</v>
      </c>
      <c r="BJ355" t="s">
        <v>1374</v>
      </c>
      <c r="BK355" t="s">
        <v>95</v>
      </c>
      <c r="BL355" t="s">
        <v>1375</v>
      </c>
      <c r="BM355" t="s">
        <v>5080</v>
      </c>
      <c r="BN355" t="s">
        <v>74</v>
      </c>
      <c r="BO355" t="s">
        <v>74</v>
      </c>
      <c r="BP355" t="s">
        <v>74</v>
      </c>
      <c r="BQ355" t="s">
        <v>74</v>
      </c>
      <c r="BR355" t="s">
        <v>98</v>
      </c>
      <c r="BS355" t="s">
        <v>5102</v>
      </c>
      <c r="BT355" t="str">
        <f>HYPERLINK("https%3A%2F%2Fwww.webofscience.com%2Fwos%2Fwoscc%2Ffull-record%2FWOS:000076160900008","View Full Record in Web of Science")</f>
        <v>View Full Record in Web of Science</v>
      </c>
    </row>
    <row r="356" spans="1:72" x14ac:dyDescent="0.15">
      <c r="A356" t="s">
        <v>72</v>
      </c>
      <c r="B356" t="s">
        <v>2182</v>
      </c>
      <c r="C356" t="s">
        <v>74</v>
      </c>
      <c r="D356" t="s">
        <v>74</v>
      </c>
      <c r="E356" t="s">
        <v>74</v>
      </c>
      <c r="F356" t="s">
        <v>2182</v>
      </c>
      <c r="G356" t="s">
        <v>74</v>
      </c>
      <c r="H356" t="s">
        <v>74</v>
      </c>
      <c r="I356" t="s">
        <v>5103</v>
      </c>
      <c r="J356" t="s">
        <v>5104</v>
      </c>
      <c r="K356" t="s">
        <v>74</v>
      </c>
      <c r="L356" t="s">
        <v>74</v>
      </c>
      <c r="M356" t="s">
        <v>77</v>
      </c>
      <c r="N356" t="s">
        <v>2185</v>
      </c>
      <c r="O356" t="s">
        <v>74</v>
      </c>
      <c r="P356" t="s">
        <v>74</v>
      </c>
      <c r="Q356" t="s">
        <v>74</v>
      </c>
      <c r="R356" t="s">
        <v>74</v>
      </c>
      <c r="S356" t="s">
        <v>74</v>
      </c>
      <c r="T356" t="s">
        <v>74</v>
      </c>
      <c r="U356" t="s">
        <v>74</v>
      </c>
      <c r="V356" t="s">
        <v>74</v>
      </c>
      <c r="W356" t="s">
        <v>74</v>
      </c>
      <c r="X356" t="s">
        <v>74</v>
      </c>
      <c r="Y356" t="s">
        <v>74</v>
      </c>
      <c r="Z356" t="s">
        <v>74</v>
      </c>
      <c r="AA356" t="s">
        <v>74</v>
      </c>
      <c r="AB356" t="s">
        <v>74</v>
      </c>
      <c r="AC356" t="s">
        <v>74</v>
      </c>
      <c r="AD356" t="s">
        <v>74</v>
      </c>
      <c r="AE356" t="s">
        <v>74</v>
      </c>
      <c r="AF356" t="s">
        <v>74</v>
      </c>
      <c r="AG356">
        <v>0</v>
      </c>
      <c r="AH356">
        <v>0</v>
      </c>
      <c r="AI356">
        <v>0</v>
      </c>
      <c r="AJ356">
        <v>0</v>
      </c>
      <c r="AK356">
        <v>0</v>
      </c>
      <c r="AL356" t="s">
        <v>5105</v>
      </c>
      <c r="AM356" t="s">
        <v>5106</v>
      </c>
      <c r="AN356" t="s">
        <v>5107</v>
      </c>
      <c r="AO356" t="s">
        <v>5108</v>
      </c>
      <c r="AP356" t="s">
        <v>74</v>
      </c>
      <c r="AQ356" t="s">
        <v>74</v>
      </c>
      <c r="AR356" t="s">
        <v>5109</v>
      </c>
      <c r="AS356" t="s">
        <v>5110</v>
      </c>
      <c r="AT356" t="s">
        <v>5013</v>
      </c>
      <c r="AU356">
        <v>1998</v>
      </c>
      <c r="AV356">
        <v>30</v>
      </c>
      <c r="AW356">
        <v>4</v>
      </c>
      <c r="AX356" t="s">
        <v>74</v>
      </c>
      <c r="AY356" t="s">
        <v>74</v>
      </c>
      <c r="AZ356" t="s">
        <v>74</v>
      </c>
      <c r="BA356" t="s">
        <v>74</v>
      </c>
      <c r="BB356" t="s">
        <v>5111</v>
      </c>
      <c r="BC356" t="s">
        <v>5112</v>
      </c>
      <c r="BD356" t="s">
        <v>74</v>
      </c>
      <c r="BE356" t="s">
        <v>74</v>
      </c>
      <c r="BF356" t="s">
        <v>74</v>
      </c>
      <c r="BG356" t="s">
        <v>74</v>
      </c>
      <c r="BH356" t="s">
        <v>74</v>
      </c>
      <c r="BI356">
        <v>2</v>
      </c>
      <c r="BJ356" t="s">
        <v>5113</v>
      </c>
      <c r="BK356" t="s">
        <v>95</v>
      </c>
      <c r="BL356" t="s">
        <v>5114</v>
      </c>
      <c r="BM356" t="s">
        <v>5115</v>
      </c>
      <c r="BN356" t="s">
        <v>74</v>
      </c>
      <c r="BO356" t="s">
        <v>74</v>
      </c>
      <c r="BP356" t="s">
        <v>74</v>
      </c>
      <c r="BQ356" t="s">
        <v>74</v>
      </c>
      <c r="BR356" t="s">
        <v>98</v>
      </c>
      <c r="BS356" t="s">
        <v>5116</v>
      </c>
      <c r="BT356" t="str">
        <f>HYPERLINK("https%3A%2F%2Fwww.webofscience.com%2Fwos%2Fwoscc%2Ffull-record%2FWOS:000076577100003","View Full Record in Web of Science")</f>
        <v>View Full Record in Web of Science</v>
      </c>
    </row>
    <row r="357" spans="1:72" x14ac:dyDescent="0.15">
      <c r="A357" t="s">
        <v>72</v>
      </c>
      <c r="B357" t="s">
        <v>5117</v>
      </c>
      <c r="C357" t="s">
        <v>74</v>
      </c>
      <c r="D357" t="s">
        <v>74</v>
      </c>
      <c r="E357" t="s">
        <v>74</v>
      </c>
      <c r="F357" t="s">
        <v>5117</v>
      </c>
      <c r="G357" t="s">
        <v>74</v>
      </c>
      <c r="H357" t="s">
        <v>74</v>
      </c>
      <c r="I357" t="s">
        <v>5118</v>
      </c>
      <c r="J357" t="s">
        <v>5119</v>
      </c>
      <c r="K357" t="s">
        <v>74</v>
      </c>
      <c r="L357" t="s">
        <v>74</v>
      </c>
      <c r="M357" t="s">
        <v>77</v>
      </c>
      <c r="N357" t="s">
        <v>3384</v>
      </c>
      <c r="O357" t="s">
        <v>74</v>
      </c>
      <c r="P357" t="s">
        <v>74</v>
      </c>
      <c r="Q357" t="s">
        <v>74</v>
      </c>
      <c r="R357" t="s">
        <v>74</v>
      </c>
      <c r="S357" t="s">
        <v>74</v>
      </c>
      <c r="T357" t="s">
        <v>74</v>
      </c>
      <c r="U357" t="s">
        <v>74</v>
      </c>
      <c r="V357" t="s">
        <v>74</v>
      </c>
      <c r="W357" t="s">
        <v>5120</v>
      </c>
      <c r="X357" t="s">
        <v>5121</v>
      </c>
      <c r="Y357" t="s">
        <v>5122</v>
      </c>
      <c r="Z357" t="s">
        <v>74</v>
      </c>
      <c r="AA357" t="s">
        <v>74</v>
      </c>
      <c r="AB357" t="s">
        <v>74</v>
      </c>
      <c r="AC357" t="s">
        <v>74</v>
      </c>
      <c r="AD357" t="s">
        <v>74</v>
      </c>
      <c r="AE357" t="s">
        <v>74</v>
      </c>
      <c r="AF357" t="s">
        <v>74</v>
      </c>
      <c r="AG357">
        <v>1</v>
      </c>
      <c r="AH357">
        <v>0</v>
      </c>
      <c r="AI357">
        <v>0</v>
      </c>
      <c r="AJ357">
        <v>0</v>
      </c>
      <c r="AK357">
        <v>4</v>
      </c>
      <c r="AL357" t="s">
        <v>5123</v>
      </c>
      <c r="AM357" t="s">
        <v>5124</v>
      </c>
      <c r="AN357" t="s">
        <v>5125</v>
      </c>
      <c r="AO357" t="s">
        <v>5126</v>
      </c>
      <c r="AP357" t="s">
        <v>74</v>
      </c>
      <c r="AQ357" t="s">
        <v>74</v>
      </c>
      <c r="AR357" t="s">
        <v>5127</v>
      </c>
      <c r="AS357" t="s">
        <v>5128</v>
      </c>
      <c r="AT357" t="s">
        <v>5013</v>
      </c>
      <c r="AU357">
        <v>1998</v>
      </c>
      <c r="AV357">
        <v>33</v>
      </c>
      <c r="AW357">
        <v>3</v>
      </c>
      <c r="AX357" t="s">
        <v>74</v>
      </c>
      <c r="AY357" t="s">
        <v>74</v>
      </c>
      <c r="AZ357" t="s">
        <v>74</v>
      </c>
      <c r="BA357" t="s">
        <v>74</v>
      </c>
      <c r="BB357">
        <v>468</v>
      </c>
      <c r="BC357">
        <v>469</v>
      </c>
      <c r="BD357" t="s">
        <v>74</v>
      </c>
      <c r="BE357" t="s">
        <v>74</v>
      </c>
      <c r="BF357" t="s">
        <v>74</v>
      </c>
      <c r="BG357" t="s">
        <v>74</v>
      </c>
      <c r="BH357" t="s">
        <v>74</v>
      </c>
      <c r="BI357">
        <v>2</v>
      </c>
      <c r="BJ357" t="s">
        <v>5129</v>
      </c>
      <c r="BK357" t="s">
        <v>3394</v>
      </c>
      <c r="BL357" t="s">
        <v>4351</v>
      </c>
      <c r="BM357" t="s">
        <v>5130</v>
      </c>
      <c r="BN357" t="s">
        <v>74</v>
      </c>
      <c r="BO357" t="s">
        <v>74</v>
      </c>
      <c r="BP357" t="s">
        <v>74</v>
      </c>
      <c r="BQ357" t="s">
        <v>74</v>
      </c>
      <c r="BR357" t="s">
        <v>98</v>
      </c>
      <c r="BS357" t="s">
        <v>5131</v>
      </c>
      <c r="BT357" t="str">
        <f>HYPERLINK("https%3A%2F%2Fwww.webofscience.com%2Fwos%2Fwoscc%2Ffull-record%2FWOS:000078351100027","View Full Record in Web of Science")</f>
        <v>View Full Record in Web of Science</v>
      </c>
    </row>
    <row r="358" spans="1:72" x14ac:dyDescent="0.15">
      <c r="A358" t="s">
        <v>72</v>
      </c>
      <c r="B358" t="s">
        <v>5132</v>
      </c>
      <c r="C358" t="s">
        <v>74</v>
      </c>
      <c r="D358" t="s">
        <v>74</v>
      </c>
      <c r="E358" t="s">
        <v>74</v>
      </c>
      <c r="F358" t="s">
        <v>5132</v>
      </c>
      <c r="G358" t="s">
        <v>74</v>
      </c>
      <c r="H358" t="s">
        <v>74</v>
      </c>
      <c r="I358" t="s">
        <v>5133</v>
      </c>
      <c r="J358" t="s">
        <v>5134</v>
      </c>
      <c r="K358" t="s">
        <v>74</v>
      </c>
      <c r="L358" t="s">
        <v>74</v>
      </c>
      <c r="M358" t="s">
        <v>77</v>
      </c>
      <c r="N358" t="s">
        <v>103</v>
      </c>
      <c r="O358" t="s">
        <v>74</v>
      </c>
      <c r="P358" t="s">
        <v>74</v>
      </c>
      <c r="Q358" t="s">
        <v>74</v>
      </c>
      <c r="R358" t="s">
        <v>74</v>
      </c>
      <c r="S358" t="s">
        <v>74</v>
      </c>
      <c r="T358" t="s">
        <v>74</v>
      </c>
      <c r="U358" t="s">
        <v>5135</v>
      </c>
      <c r="V358" t="s">
        <v>5136</v>
      </c>
      <c r="W358" t="s">
        <v>5137</v>
      </c>
      <c r="X358" t="s">
        <v>5138</v>
      </c>
      <c r="Y358" t="s">
        <v>5139</v>
      </c>
      <c r="Z358" t="s">
        <v>74</v>
      </c>
      <c r="AA358" t="s">
        <v>74</v>
      </c>
      <c r="AB358" t="s">
        <v>5140</v>
      </c>
      <c r="AC358" t="s">
        <v>74</v>
      </c>
      <c r="AD358" t="s">
        <v>74</v>
      </c>
      <c r="AE358" t="s">
        <v>74</v>
      </c>
      <c r="AF358" t="s">
        <v>74</v>
      </c>
      <c r="AG358">
        <v>33</v>
      </c>
      <c r="AH358">
        <v>63</v>
      </c>
      <c r="AI358">
        <v>73</v>
      </c>
      <c r="AJ358">
        <v>0</v>
      </c>
      <c r="AK358">
        <v>12</v>
      </c>
      <c r="AL358" t="s">
        <v>5141</v>
      </c>
      <c r="AM358" t="s">
        <v>5142</v>
      </c>
      <c r="AN358" t="s">
        <v>5143</v>
      </c>
      <c r="AO358" t="s">
        <v>5144</v>
      </c>
      <c r="AP358" t="s">
        <v>74</v>
      </c>
      <c r="AQ358" t="s">
        <v>74</v>
      </c>
      <c r="AR358" t="s">
        <v>5134</v>
      </c>
      <c r="AS358" t="s">
        <v>5145</v>
      </c>
      <c r="AT358" t="s">
        <v>5013</v>
      </c>
      <c r="AU358">
        <v>1998</v>
      </c>
      <c r="AV358">
        <v>45</v>
      </c>
      <c r="AW358" t="s">
        <v>74</v>
      </c>
      <c r="AX358">
        <v>3</v>
      </c>
      <c r="AY358" t="s">
        <v>74</v>
      </c>
      <c r="AZ358" t="s">
        <v>74</v>
      </c>
      <c r="BA358" t="s">
        <v>74</v>
      </c>
      <c r="BB358">
        <v>361</v>
      </c>
      <c r="BC358">
        <v>370</v>
      </c>
      <c r="BD358" t="s">
        <v>74</v>
      </c>
      <c r="BE358" t="s">
        <v>5146</v>
      </c>
      <c r="BF358" t="str">
        <f>HYPERLINK("http://dx.doi.org/10.1080/00063659809461108","http://dx.doi.org/10.1080/00063659809461108")</f>
        <v>http://dx.doi.org/10.1080/00063659809461108</v>
      </c>
      <c r="BG358" t="s">
        <v>74</v>
      </c>
      <c r="BH358" t="s">
        <v>74</v>
      </c>
      <c r="BI358">
        <v>10</v>
      </c>
      <c r="BJ358" t="s">
        <v>3526</v>
      </c>
      <c r="BK358" t="s">
        <v>95</v>
      </c>
      <c r="BL358" t="s">
        <v>117</v>
      </c>
      <c r="BM358" t="s">
        <v>5147</v>
      </c>
      <c r="BN358" t="s">
        <v>74</v>
      </c>
      <c r="BO358" t="s">
        <v>1089</v>
      </c>
      <c r="BP358" t="s">
        <v>74</v>
      </c>
      <c r="BQ358" t="s">
        <v>74</v>
      </c>
      <c r="BR358" t="s">
        <v>98</v>
      </c>
      <c r="BS358" t="s">
        <v>5148</v>
      </c>
      <c r="BT358" t="str">
        <f>HYPERLINK("https%3A%2F%2Fwww.webofscience.com%2Fwos%2Fwoscc%2Ffull-record%2FWOS:000077199700011","View Full Record in Web of Science")</f>
        <v>View Full Record in Web of Science</v>
      </c>
    </row>
    <row r="359" spans="1:72" x14ac:dyDescent="0.15">
      <c r="A359" t="s">
        <v>72</v>
      </c>
      <c r="B359" t="s">
        <v>5149</v>
      </c>
      <c r="C359" t="s">
        <v>74</v>
      </c>
      <c r="D359" t="s">
        <v>74</v>
      </c>
      <c r="E359" t="s">
        <v>74</v>
      </c>
      <c r="F359" t="s">
        <v>5149</v>
      </c>
      <c r="G359" t="s">
        <v>74</v>
      </c>
      <c r="H359" t="s">
        <v>74</v>
      </c>
      <c r="I359" t="s">
        <v>5150</v>
      </c>
      <c r="J359" t="s">
        <v>5151</v>
      </c>
      <c r="K359" t="s">
        <v>74</v>
      </c>
      <c r="L359" t="s">
        <v>74</v>
      </c>
      <c r="M359" t="s">
        <v>77</v>
      </c>
      <c r="N359" t="s">
        <v>103</v>
      </c>
      <c r="O359" t="s">
        <v>74</v>
      </c>
      <c r="P359" t="s">
        <v>74</v>
      </c>
      <c r="Q359" t="s">
        <v>74</v>
      </c>
      <c r="R359" t="s">
        <v>74</v>
      </c>
      <c r="S359" t="s">
        <v>74</v>
      </c>
      <c r="T359" t="s">
        <v>74</v>
      </c>
      <c r="U359" t="s">
        <v>5152</v>
      </c>
      <c r="V359" t="s">
        <v>5153</v>
      </c>
      <c r="W359" t="s">
        <v>5154</v>
      </c>
      <c r="X359" t="s">
        <v>5155</v>
      </c>
      <c r="Y359" t="s">
        <v>5156</v>
      </c>
      <c r="Z359" t="s">
        <v>5157</v>
      </c>
      <c r="AA359" t="s">
        <v>5158</v>
      </c>
      <c r="AB359" t="s">
        <v>5159</v>
      </c>
      <c r="AC359" t="s">
        <v>74</v>
      </c>
      <c r="AD359" t="s">
        <v>74</v>
      </c>
      <c r="AE359" t="s">
        <v>74</v>
      </c>
      <c r="AF359" t="s">
        <v>74</v>
      </c>
      <c r="AG359">
        <v>24</v>
      </c>
      <c r="AH359">
        <v>71</v>
      </c>
      <c r="AI359">
        <v>83</v>
      </c>
      <c r="AJ359">
        <v>0</v>
      </c>
      <c r="AK359">
        <v>11</v>
      </c>
      <c r="AL359" t="s">
        <v>5160</v>
      </c>
      <c r="AM359" t="s">
        <v>5161</v>
      </c>
      <c r="AN359" t="s">
        <v>5162</v>
      </c>
      <c r="AO359" t="s">
        <v>5163</v>
      </c>
      <c r="AP359" t="s">
        <v>5164</v>
      </c>
      <c r="AQ359" t="s">
        <v>74</v>
      </c>
      <c r="AR359" t="s">
        <v>5165</v>
      </c>
      <c r="AS359" t="s">
        <v>5166</v>
      </c>
      <c r="AT359" t="s">
        <v>5013</v>
      </c>
      <c r="AU359">
        <v>1998</v>
      </c>
      <c r="AV359">
        <v>63</v>
      </c>
      <c r="AW359">
        <v>3</v>
      </c>
      <c r="AX359" t="s">
        <v>74</v>
      </c>
      <c r="AY359" t="s">
        <v>74</v>
      </c>
      <c r="AZ359" t="s">
        <v>74</v>
      </c>
      <c r="BA359" t="s">
        <v>74</v>
      </c>
      <c r="BB359">
        <v>617</v>
      </c>
      <c r="BC359">
        <v>628</v>
      </c>
      <c r="BD359" t="s">
        <v>74</v>
      </c>
      <c r="BE359" t="s">
        <v>74</v>
      </c>
      <c r="BF359" t="s">
        <v>74</v>
      </c>
      <c r="BG359" t="s">
        <v>74</v>
      </c>
      <c r="BH359" t="s">
        <v>74</v>
      </c>
      <c r="BI359">
        <v>12</v>
      </c>
      <c r="BJ359" t="s">
        <v>1128</v>
      </c>
      <c r="BK359" t="s">
        <v>95</v>
      </c>
      <c r="BL359" t="s">
        <v>1128</v>
      </c>
      <c r="BM359" t="s">
        <v>5167</v>
      </c>
      <c r="BN359" t="s">
        <v>74</v>
      </c>
      <c r="BO359" t="s">
        <v>74</v>
      </c>
      <c r="BP359" t="s">
        <v>74</v>
      </c>
      <c r="BQ359" t="s">
        <v>74</v>
      </c>
      <c r="BR359" t="s">
        <v>98</v>
      </c>
      <c r="BS359" t="s">
        <v>5168</v>
      </c>
      <c r="BT359" t="str">
        <f>HYPERLINK("https%3A%2F%2Fwww.webofscience.com%2Fwos%2Fwoscc%2Ffull-record%2FWOS:000078407600016","View Full Record in Web of Science")</f>
        <v>View Full Record in Web of Science</v>
      </c>
    </row>
    <row r="360" spans="1:72" x14ac:dyDescent="0.15">
      <c r="A360" t="s">
        <v>72</v>
      </c>
      <c r="B360" t="s">
        <v>2182</v>
      </c>
      <c r="C360" t="s">
        <v>74</v>
      </c>
      <c r="D360" t="s">
        <v>74</v>
      </c>
      <c r="E360" t="s">
        <v>74</v>
      </c>
      <c r="F360" t="s">
        <v>2182</v>
      </c>
      <c r="G360" t="s">
        <v>74</v>
      </c>
      <c r="H360" t="s">
        <v>74</v>
      </c>
      <c r="I360" t="s">
        <v>5169</v>
      </c>
      <c r="J360" t="s">
        <v>5170</v>
      </c>
      <c r="K360" t="s">
        <v>74</v>
      </c>
      <c r="L360" t="s">
        <v>74</v>
      </c>
      <c r="M360" t="s">
        <v>77</v>
      </c>
      <c r="N360" t="s">
        <v>2185</v>
      </c>
      <c r="O360" t="s">
        <v>74</v>
      </c>
      <c r="P360" t="s">
        <v>74</v>
      </c>
      <c r="Q360" t="s">
        <v>74</v>
      </c>
      <c r="R360" t="s">
        <v>74</v>
      </c>
      <c r="S360" t="s">
        <v>74</v>
      </c>
      <c r="T360" t="s">
        <v>74</v>
      </c>
      <c r="U360" t="s">
        <v>74</v>
      </c>
      <c r="V360" t="s">
        <v>74</v>
      </c>
      <c r="W360" t="s">
        <v>74</v>
      </c>
      <c r="X360" t="s">
        <v>74</v>
      </c>
      <c r="Y360" t="s">
        <v>74</v>
      </c>
      <c r="Z360" t="s">
        <v>74</v>
      </c>
      <c r="AA360" t="s">
        <v>74</v>
      </c>
      <c r="AB360" t="s">
        <v>74</v>
      </c>
      <c r="AC360" t="s">
        <v>74</v>
      </c>
      <c r="AD360" t="s">
        <v>74</v>
      </c>
      <c r="AE360" t="s">
        <v>74</v>
      </c>
      <c r="AF360" t="s">
        <v>74</v>
      </c>
      <c r="AG360">
        <v>0</v>
      </c>
      <c r="AH360">
        <v>0</v>
      </c>
      <c r="AI360">
        <v>0</v>
      </c>
      <c r="AJ360">
        <v>0</v>
      </c>
      <c r="AK360">
        <v>0</v>
      </c>
      <c r="AL360" t="s">
        <v>1344</v>
      </c>
      <c r="AM360" t="s">
        <v>1345</v>
      </c>
      <c r="AN360" t="s">
        <v>1346</v>
      </c>
      <c r="AO360" t="s">
        <v>5171</v>
      </c>
      <c r="AP360" t="s">
        <v>74</v>
      </c>
      <c r="AQ360" t="s">
        <v>74</v>
      </c>
      <c r="AR360" t="s">
        <v>5172</v>
      </c>
      <c r="AS360" t="s">
        <v>5173</v>
      </c>
      <c r="AT360" t="s">
        <v>5013</v>
      </c>
      <c r="AU360">
        <v>1998</v>
      </c>
      <c r="AV360">
        <v>79</v>
      </c>
      <c r="AW360">
        <v>11</v>
      </c>
      <c r="AX360" t="s">
        <v>74</v>
      </c>
      <c r="AY360" t="s">
        <v>74</v>
      </c>
      <c r="AZ360" t="s">
        <v>74</v>
      </c>
      <c r="BA360" t="s">
        <v>74</v>
      </c>
      <c r="BB360">
        <v>2570</v>
      </c>
      <c r="BC360">
        <v>2571</v>
      </c>
      <c r="BD360" t="s">
        <v>74</v>
      </c>
      <c r="BE360" t="s">
        <v>74</v>
      </c>
      <c r="BF360" t="s">
        <v>74</v>
      </c>
      <c r="BG360" t="s">
        <v>74</v>
      </c>
      <c r="BH360" t="s">
        <v>74</v>
      </c>
      <c r="BI360">
        <v>2</v>
      </c>
      <c r="BJ360" t="s">
        <v>1418</v>
      </c>
      <c r="BK360" t="s">
        <v>95</v>
      </c>
      <c r="BL360" t="s">
        <v>1418</v>
      </c>
      <c r="BM360" t="s">
        <v>5174</v>
      </c>
      <c r="BN360" t="s">
        <v>74</v>
      </c>
      <c r="BO360" t="s">
        <v>74</v>
      </c>
      <c r="BP360" t="s">
        <v>74</v>
      </c>
      <c r="BQ360" t="s">
        <v>74</v>
      </c>
      <c r="BR360" t="s">
        <v>98</v>
      </c>
      <c r="BS360" t="s">
        <v>5175</v>
      </c>
      <c r="BT360" t="str">
        <f>HYPERLINK("https%3A%2F%2Fwww.webofscience.com%2Fwos%2Fwoscc%2Ffull-record%2FWOS:000077235200016","View Full Record in Web of Science")</f>
        <v>View Full Record in Web of Science</v>
      </c>
    </row>
    <row r="361" spans="1:72" x14ac:dyDescent="0.15">
      <c r="A361" t="s">
        <v>72</v>
      </c>
      <c r="B361" t="s">
        <v>5176</v>
      </c>
      <c r="C361" t="s">
        <v>74</v>
      </c>
      <c r="D361" t="s">
        <v>74</v>
      </c>
      <c r="E361" t="s">
        <v>74</v>
      </c>
      <c r="F361" t="s">
        <v>5176</v>
      </c>
      <c r="G361" t="s">
        <v>74</v>
      </c>
      <c r="H361" t="s">
        <v>74</v>
      </c>
      <c r="I361" t="s">
        <v>5177</v>
      </c>
      <c r="J361" t="s">
        <v>5178</v>
      </c>
      <c r="K361" t="s">
        <v>74</v>
      </c>
      <c r="L361" t="s">
        <v>74</v>
      </c>
      <c r="M361" t="s">
        <v>77</v>
      </c>
      <c r="N361" t="s">
        <v>103</v>
      </c>
      <c r="O361" t="s">
        <v>74</v>
      </c>
      <c r="P361" t="s">
        <v>74</v>
      </c>
      <c r="Q361" t="s">
        <v>74</v>
      </c>
      <c r="R361" t="s">
        <v>74</v>
      </c>
      <c r="S361" t="s">
        <v>74</v>
      </c>
      <c r="T361" t="s">
        <v>74</v>
      </c>
      <c r="U361" t="s">
        <v>5179</v>
      </c>
      <c r="V361" t="s">
        <v>5180</v>
      </c>
      <c r="W361" t="s">
        <v>5181</v>
      </c>
      <c r="X361" t="s">
        <v>5182</v>
      </c>
      <c r="Y361" t="s">
        <v>5183</v>
      </c>
      <c r="Z361" t="s">
        <v>5184</v>
      </c>
      <c r="AA361" t="s">
        <v>74</v>
      </c>
      <c r="AB361" t="s">
        <v>74</v>
      </c>
      <c r="AC361" t="s">
        <v>74</v>
      </c>
      <c r="AD361" t="s">
        <v>74</v>
      </c>
      <c r="AE361" t="s">
        <v>74</v>
      </c>
      <c r="AF361" t="s">
        <v>74</v>
      </c>
      <c r="AG361">
        <v>45</v>
      </c>
      <c r="AH361">
        <v>100</v>
      </c>
      <c r="AI361">
        <v>111</v>
      </c>
      <c r="AJ361">
        <v>0</v>
      </c>
      <c r="AK361">
        <v>28</v>
      </c>
      <c r="AL361" t="s">
        <v>5185</v>
      </c>
      <c r="AM361" t="s">
        <v>257</v>
      </c>
      <c r="AN361" t="s">
        <v>5186</v>
      </c>
      <c r="AO361" t="s">
        <v>259</v>
      </c>
      <c r="AP361" t="s">
        <v>5187</v>
      </c>
      <c r="AQ361" t="s">
        <v>74</v>
      </c>
      <c r="AR361" t="s">
        <v>260</v>
      </c>
      <c r="AS361" t="s">
        <v>5188</v>
      </c>
      <c r="AT361" t="s">
        <v>5013</v>
      </c>
      <c r="AU361">
        <v>1998</v>
      </c>
      <c r="AV361">
        <v>76</v>
      </c>
      <c r="AW361">
        <v>11</v>
      </c>
      <c r="AX361" t="s">
        <v>74</v>
      </c>
      <c r="AY361" t="s">
        <v>74</v>
      </c>
      <c r="AZ361" t="s">
        <v>74</v>
      </c>
      <c r="BA361" t="s">
        <v>74</v>
      </c>
      <c r="BB361">
        <v>2075</v>
      </c>
      <c r="BC361">
        <v>2083</v>
      </c>
      <c r="BD361" t="s">
        <v>74</v>
      </c>
      <c r="BE361" t="s">
        <v>5189</v>
      </c>
      <c r="BF361" t="str">
        <f>HYPERLINK("http://dx.doi.org/10.1139/cjz-76-11-2075","http://dx.doi.org/10.1139/cjz-76-11-2075")</f>
        <v>http://dx.doi.org/10.1139/cjz-76-11-2075</v>
      </c>
      <c r="BG361" t="s">
        <v>74</v>
      </c>
      <c r="BH361" t="s">
        <v>74</v>
      </c>
      <c r="BI361">
        <v>9</v>
      </c>
      <c r="BJ361" t="s">
        <v>117</v>
      </c>
      <c r="BK361" t="s">
        <v>95</v>
      </c>
      <c r="BL361" t="s">
        <v>117</v>
      </c>
      <c r="BM361" t="s">
        <v>5190</v>
      </c>
      <c r="BN361" t="s">
        <v>74</v>
      </c>
      <c r="BO361" t="s">
        <v>74</v>
      </c>
      <c r="BP361" t="s">
        <v>74</v>
      </c>
      <c r="BQ361" t="s">
        <v>74</v>
      </c>
      <c r="BR361" t="s">
        <v>98</v>
      </c>
      <c r="BS361" t="s">
        <v>5191</v>
      </c>
      <c r="BT361" t="str">
        <f>HYPERLINK("https%3A%2F%2Fwww.webofscience.com%2Fwos%2Fwoscc%2Ffull-record%2FWOS:000080396100013","View Full Record in Web of Science")</f>
        <v>View Full Record in Web of Science</v>
      </c>
    </row>
    <row r="362" spans="1:72" x14ac:dyDescent="0.15">
      <c r="A362" t="s">
        <v>72</v>
      </c>
      <c r="B362" t="s">
        <v>5192</v>
      </c>
      <c r="C362" t="s">
        <v>74</v>
      </c>
      <c r="D362" t="s">
        <v>74</v>
      </c>
      <c r="E362" t="s">
        <v>74</v>
      </c>
      <c r="F362" t="s">
        <v>5192</v>
      </c>
      <c r="G362" t="s">
        <v>74</v>
      </c>
      <c r="H362" t="s">
        <v>74</v>
      </c>
      <c r="I362" t="s">
        <v>5193</v>
      </c>
      <c r="J362" t="s">
        <v>5194</v>
      </c>
      <c r="K362" t="s">
        <v>74</v>
      </c>
      <c r="L362" t="s">
        <v>74</v>
      </c>
      <c r="M362" t="s">
        <v>77</v>
      </c>
      <c r="N362" t="s">
        <v>103</v>
      </c>
      <c r="O362" t="s">
        <v>74</v>
      </c>
      <c r="P362" t="s">
        <v>74</v>
      </c>
      <c r="Q362" t="s">
        <v>74</v>
      </c>
      <c r="R362" t="s">
        <v>74</v>
      </c>
      <c r="S362" t="s">
        <v>74</v>
      </c>
      <c r="T362" t="s">
        <v>5195</v>
      </c>
      <c r="U362" t="s">
        <v>5196</v>
      </c>
      <c r="V362" t="s">
        <v>5197</v>
      </c>
      <c r="W362" t="s">
        <v>5198</v>
      </c>
      <c r="X362" t="s">
        <v>5199</v>
      </c>
      <c r="Y362" t="s">
        <v>5200</v>
      </c>
      <c r="Z362" t="s">
        <v>74</v>
      </c>
      <c r="AA362" t="s">
        <v>5201</v>
      </c>
      <c r="AB362" t="s">
        <v>74</v>
      </c>
      <c r="AC362" t="s">
        <v>74</v>
      </c>
      <c r="AD362" t="s">
        <v>74</v>
      </c>
      <c r="AE362" t="s">
        <v>74</v>
      </c>
      <c r="AF362" t="s">
        <v>74</v>
      </c>
      <c r="AG362">
        <v>12</v>
      </c>
      <c r="AH362">
        <v>4</v>
      </c>
      <c r="AI362">
        <v>4</v>
      </c>
      <c r="AJ362">
        <v>0</v>
      </c>
      <c r="AK362">
        <v>2</v>
      </c>
      <c r="AL362" t="s">
        <v>297</v>
      </c>
      <c r="AM362" t="s">
        <v>298</v>
      </c>
      <c r="AN362" t="s">
        <v>299</v>
      </c>
      <c r="AO362" t="s">
        <v>5202</v>
      </c>
      <c r="AP362" t="s">
        <v>74</v>
      </c>
      <c r="AQ362" t="s">
        <v>74</v>
      </c>
      <c r="AR362" t="s">
        <v>5203</v>
      </c>
      <c r="AS362" t="s">
        <v>5204</v>
      </c>
      <c r="AT362" t="s">
        <v>5013</v>
      </c>
      <c r="AU362">
        <v>1998</v>
      </c>
      <c r="AV362">
        <v>43</v>
      </c>
      <c r="AW362">
        <v>21</v>
      </c>
      <c r="AX362" t="s">
        <v>74</v>
      </c>
      <c r="AY362" t="s">
        <v>74</v>
      </c>
      <c r="AZ362" t="s">
        <v>74</v>
      </c>
      <c r="BA362" t="s">
        <v>74</v>
      </c>
      <c r="BB362">
        <v>1830</v>
      </c>
      <c r="BC362">
        <v>1834</v>
      </c>
      <c r="BD362" t="s">
        <v>74</v>
      </c>
      <c r="BE362" t="s">
        <v>5205</v>
      </c>
      <c r="BF362" t="str">
        <f>HYPERLINK("http://dx.doi.org/10.1007/BF02883383","http://dx.doi.org/10.1007/BF02883383")</f>
        <v>http://dx.doi.org/10.1007/BF02883383</v>
      </c>
      <c r="BG362" t="s">
        <v>74</v>
      </c>
      <c r="BH362" t="s">
        <v>74</v>
      </c>
      <c r="BI362">
        <v>5</v>
      </c>
      <c r="BJ362" t="s">
        <v>3377</v>
      </c>
      <c r="BK362" t="s">
        <v>95</v>
      </c>
      <c r="BL362" t="s">
        <v>3378</v>
      </c>
      <c r="BM362" t="s">
        <v>5206</v>
      </c>
      <c r="BN362" t="s">
        <v>74</v>
      </c>
      <c r="BO362" t="s">
        <v>74</v>
      </c>
      <c r="BP362" t="s">
        <v>74</v>
      </c>
      <c r="BQ362" t="s">
        <v>74</v>
      </c>
      <c r="BR362" t="s">
        <v>98</v>
      </c>
      <c r="BS362" t="s">
        <v>5207</v>
      </c>
      <c r="BT362" t="str">
        <f>HYPERLINK("https%3A%2F%2Fwww.webofscience.com%2Fwos%2Fwoscc%2Ffull-record%2FWOS:000077521800016","View Full Record in Web of Science")</f>
        <v>View Full Record in Web of Science</v>
      </c>
    </row>
    <row r="363" spans="1:72" x14ac:dyDescent="0.15">
      <c r="A363" t="s">
        <v>72</v>
      </c>
      <c r="B363" t="s">
        <v>5208</v>
      </c>
      <c r="C363" t="s">
        <v>74</v>
      </c>
      <c r="D363" t="s">
        <v>74</v>
      </c>
      <c r="E363" t="s">
        <v>74</v>
      </c>
      <c r="F363" t="s">
        <v>5208</v>
      </c>
      <c r="G363" t="s">
        <v>74</v>
      </c>
      <c r="H363" t="s">
        <v>74</v>
      </c>
      <c r="I363" t="s">
        <v>5209</v>
      </c>
      <c r="J363" t="s">
        <v>5210</v>
      </c>
      <c r="K363" t="s">
        <v>74</v>
      </c>
      <c r="L363" t="s">
        <v>74</v>
      </c>
      <c r="M363" t="s">
        <v>2510</v>
      </c>
      <c r="N363" t="s">
        <v>103</v>
      </c>
      <c r="O363" t="s">
        <v>74</v>
      </c>
      <c r="P363" t="s">
        <v>74</v>
      </c>
      <c r="Q363" t="s">
        <v>74</v>
      </c>
      <c r="R363" t="s">
        <v>74</v>
      </c>
      <c r="S363" t="s">
        <v>74</v>
      </c>
      <c r="T363" t="s">
        <v>74</v>
      </c>
      <c r="U363" t="s">
        <v>74</v>
      </c>
      <c r="V363" t="s">
        <v>74</v>
      </c>
      <c r="W363" t="s">
        <v>3105</v>
      </c>
      <c r="X363" t="s">
        <v>577</v>
      </c>
      <c r="Y363" t="s">
        <v>5211</v>
      </c>
      <c r="Z363" t="s">
        <v>74</v>
      </c>
      <c r="AA363" t="s">
        <v>74</v>
      </c>
      <c r="AB363" t="s">
        <v>74</v>
      </c>
      <c r="AC363" t="s">
        <v>74</v>
      </c>
      <c r="AD363" t="s">
        <v>74</v>
      </c>
      <c r="AE363" t="s">
        <v>74</v>
      </c>
      <c r="AF363" t="s">
        <v>74</v>
      </c>
      <c r="AG363">
        <v>10</v>
      </c>
      <c r="AH363">
        <v>2</v>
      </c>
      <c r="AI363">
        <v>2</v>
      </c>
      <c r="AJ363">
        <v>0</v>
      </c>
      <c r="AK363">
        <v>0</v>
      </c>
      <c r="AL363" t="s">
        <v>2517</v>
      </c>
      <c r="AM363" t="s">
        <v>2518</v>
      </c>
      <c r="AN363" t="s">
        <v>2519</v>
      </c>
      <c r="AO363" t="s">
        <v>5212</v>
      </c>
      <c r="AP363" t="s">
        <v>74</v>
      </c>
      <c r="AQ363" t="s">
        <v>74</v>
      </c>
      <c r="AR363" t="s">
        <v>5213</v>
      </c>
      <c r="AS363" t="s">
        <v>5214</v>
      </c>
      <c r="AT363" t="s">
        <v>5013</v>
      </c>
      <c r="AU363">
        <v>1998</v>
      </c>
      <c r="AV363">
        <v>363</v>
      </c>
      <c r="AW363">
        <v>3</v>
      </c>
      <c r="AX363" t="s">
        <v>74</v>
      </c>
      <c r="AY363" t="s">
        <v>74</v>
      </c>
      <c r="AZ363" t="s">
        <v>74</v>
      </c>
      <c r="BA363" t="s">
        <v>74</v>
      </c>
      <c r="BB363">
        <v>396</v>
      </c>
      <c r="BC363">
        <v>399</v>
      </c>
      <c r="BD363" t="s">
        <v>74</v>
      </c>
      <c r="BE363" t="s">
        <v>74</v>
      </c>
      <c r="BF363" t="s">
        <v>74</v>
      </c>
      <c r="BG363" t="s">
        <v>74</v>
      </c>
      <c r="BH363" t="s">
        <v>74</v>
      </c>
      <c r="BI363">
        <v>4</v>
      </c>
      <c r="BJ363" t="s">
        <v>3377</v>
      </c>
      <c r="BK363" t="s">
        <v>95</v>
      </c>
      <c r="BL363" t="s">
        <v>3378</v>
      </c>
      <c r="BM363" t="s">
        <v>5215</v>
      </c>
      <c r="BN363" t="s">
        <v>74</v>
      </c>
      <c r="BO363" t="s">
        <v>74</v>
      </c>
      <c r="BP363" t="s">
        <v>74</v>
      </c>
      <c r="BQ363" t="s">
        <v>74</v>
      </c>
      <c r="BR363" t="s">
        <v>98</v>
      </c>
      <c r="BS363" t="s">
        <v>5216</v>
      </c>
      <c r="BT363" t="str">
        <f>HYPERLINK("https%3A%2F%2Fwww.webofscience.com%2Fwos%2Fwoscc%2Ffull-record%2FWOS:000078063700030","View Full Record in Web of Science")</f>
        <v>View Full Record in Web of Science</v>
      </c>
    </row>
    <row r="364" spans="1:72" x14ac:dyDescent="0.15">
      <c r="A364" t="s">
        <v>72</v>
      </c>
      <c r="B364" t="s">
        <v>1653</v>
      </c>
      <c r="C364" t="s">
        <v>74</v>
      </c>
      <c r="D364" t="s">
        <v>74</v>
      </c>
      <c r="E364" t="s">
        <v>74</v>
      </c>
      <c r="F364" t="s">
        <v>1653</v>
      </c>
      <c r="G364" t="s">
        <v>74</v>
      </c>
      <c r="H364" t="s">
        <v>74</v>
      </c>
      <c r="I364" t="s">
        <v>5217</v>
      </c>
      <c r="J364" t="s">
        <v>5218</v>
      </c>
      <c r="K364" t="s">
        <v>74</v>
      </c>
      <c r="L364" t="s">
        <v>74</v>
      </c>
      <c r="M364" t="s">
        <v>77</v>
      </c>
      <c r="N364" t="s">
        <v>103</v>
      </c>
      <c r="O364" t="s">
        <v>74</v>
      </c>
      <c r="P364" t="s">
        <v>74</v>
      </c>
      <c r="Q364" t="s">
        <v>74</v>
      </c>
      <c r="R364" t="s">
        <v>74</v>
      </c>
      <c r="S364" t="s">
        <v>74</v>
      </c>
      <c r="T364" t="s">
        <v>74</v>
      </c>
      <c r="U364" t="s">
        <v>5219</v>
      </c>
      <c r="V364" t="s">
        <v>74</v>
      </c>
      <c r="W364" t="s">
        <v>1437</v>
      </c>
      <c r="X364" t="s">
        <v>628</v>
      </c>
      <c r="Y364" t="s">
        <v>5220</v>
      </c>
      <c r="Z364" t="s">
        <v>74</v>
      </c>
      <c r="AA364" t="s">
        <v>1662</v>
      </c>
      <c r="AB364" t="s">
        <v>74</v>
      </c>
      <c r="AC364" t="s">
        <v>74</v>
      </c>
      <c r="AD364" t="s">
        <v>74</v>
      </c>
      <c r="AE364" t="s">
        <v>74</v>
      </c>
      <c r="AF364" t="s">
        <v>74</v>
      </c>
      <c r="AG364">
        <v>11</v>
      </c>
      <c r="AH364">
        <v>1</v>
      </c>
      <c r="AI364">
        <v>1</v>
      </c>
      <c r="AJ364">
        <v>0</v>
      </c>
      <c r="AK364">
        <v>1</v>
      </c>
      <c r="AL364" t="s">
        <v>5221</v>
      </c>
      <c r="AM364" t="s">
        <v>5222</v>
      </c>
      <c r="AN364" t="s">
        <v>5223</v>
      </c>
      <c r="AO364" t="s">
        <v>5224</v>
      </c>
      <c r="AP364" t="s">
        <v>74</v>
      </c>
      <c r="AQ364" t="s">
        <v>74</v>
      </c>
      <c r="AR364" t="s">
        <v>5218</v>
      </c>
      <c r="AS364" t="s">
        <v>193</v>
      </c>
      <c r="AT364" t="s">
        <v>5013</v>
      </c>
      <c r="AU364">
        <v>1998</v>
      </c>
      <c r="AV364">
        <v>26</v>
      </c>
      <c r="AW364">
        <v>11</v>
      </c>
      <c r="AX364" t="s">
        <v>74</v>
      </c>
      <c r="AY364" t="s">
        <v>74</v>
      </c>
      <c r="AZ364" t="s">
        <v>74</v>
      </c>
      <c r="BA364" t="s">
        <v>74</v>
      </c>
      <c r="BB364">
        <v>1054</v>
      </c>
      <c r="BC364">
        <v>1055</v>
      </c>
      <c r="BD364" t="s">
        <v>74</v>
      </c>
      <c r="BE364" t="s">
        <v>5225</v>
      </c>
      <c r="BF364" t="str">
        <f>HYPERLINK("http://dx.doi.org/10.1130/0091-7613(1998)026&lt;1054:EFCDIT&gt;2.3.CO;2","http://dx.doi.org/10.1130/0091-7613(1998)026&lt;1054:EFCDIT&gt;2.3.CO;2")</f>
        <v>http://dx.doi.org/10.1130/0091-7613(1998)026&lt;1054:EFCDIT&gt;2.3.CO;2</v>
      </c>
      <c r="BG364" t="s">
        <v>74</v>
      </c>
      <c r="BH364" t="s">
        <v>74</v>
      </c>
      <c r="BI364">
        <v>2</v>
      </c>
      <c r="BJ364" t="s">
        <v>193</v>
      </c>
      <c r="BK364" t="s">
        <v>95</v>
      </c>
      <c r="BL364" t="s">
        <v>193</v>
      </c>
      <c r="BM364" t="s">
        <v>5226</v>
      </c>
      <c r="BN364" t="s">
        <v>74</v>
      </c>
      <c r="BO364" t="s">
        <v>74</v>
      </c>
      <c r="BP364" t="s">
        <v>74</v>
      </c>
      <c r="BQ364" t="s">
        <v>74</v>
      </c>
      <c r="BR364" t="s">
        <v>98</v>
      </c>
      <c r="BS364" t="s">
        <v>5227</v>
      </c>
      <c r="BT364" t="str">
        <f>HYPERLINK("https%3A%2F%2Fwww.webofscience.com%2Fwos%2Fwoscc%2Ffull-record%2FWOS:000076807000026","View Full Record in Web of Science")</f>
        <v>View Full Record in Web of Science</v>
      </c>
    </row>
    <row r="365" spans="1:72" x14ac:dyDescent="0.15">
      <c r="A365" t="s">
        <v>72</v>
      </c>
      <c r="B365" t="s">
        <v>976</v>
      </c>
      <c r="C365" t="s">
        <v>74</v>
      </c>
      <c r="D365" t="s">
        <v>74</v>
      </c>
      <c r="E365" t="s">
        <v>74</v>
      </c>
      <c r="F365" t="s">
        <v>976</v>
      </c>
      <c r="G365" t="s">
        <v>74</v>
      </c>
      <c r="H365" t="s">
        <v>74</v>
      </c>
      <c r="I365" t="s">
        <v>5228</v>
      </c>
      <c r="J365" t="s">
        <v>958</v>
      </c>
      <c r="K365" t="s">
        <v>74</v>
      </c>
      <c r="L365" t="s">
        <v>74</v>
      </c>
      <c r="M365" t="s">
        <v>77</v>
      </c>
      <c r="N365" t="s">
        <v>103</v>
      </c>
      <c r="O365" t="s">
        <v>74</v>
      </c>
      <c r="P365" t="s">
        <v>74</v>
      </c>
      <c r="Q365" t="s">
        <v>74</v>
      </c>
      <c r="R365" t="s">
        <v>74</v>
      </c>
      <c r="S365" t="s">
        <v>74</v>
      </c>
      <c r="T365" t="s">
        <v>74</v>
      </c>
      <c r="U365" t="s">
        <v>5229</v>
      </c>
      <c r="V365" t="s">
        <v>5230</v>
      </c>
      <c r="W365" t="s">
        <v>5231</v>
      </c>
      <c r="X365" t="s">
        <v>981</v>
      </c>
      <c r="Y365" t="s">
        <v>5232</v>
      </c>
      <c r="Z365" t="s">
        <v>5233</v>
      </c>
      <c r="AA365" t="s">
        <v>983</v>
      </c>
      <c r="AB365" t="s">
        <v>984</v>
      </c>
      <c r="AC365" t="s">
        <v>74</v>
      </c>
      <c r="AD365" t="s">
        <v>74</v>
      </c>
      <c r="AE365" t="s">
        <v>74</v>
      </c>
      <c r="AF365" t="s">
        <v>74</v>
      </c>
      <c r="AG365">
        <v>13</v>
      </c>
      <c r="AH365">
        <v>19</v>
      </c>
      <c r="AI365">
        <v>19</v>
      </c>
      <c r="AJ365">
        <v>0</v>
      </c>
      <c r="AK365">
        <v>2</v>
      </c>
      <c r="AL365" t="s">
        <v>966</v>
      </c>
      <c r="AM365" t="s">
        <v>967</v>
      </c>
      <c r="AN365" t="s">
        <v>968</v>
      </c>
      <c r="AO365" t="s">
        <v>969</v>
      </c>
      <c r="AP365" t="s">
        <v>5234</v>
      </c>
      <c r="AQ365" t="s">
        <v>74</v>
      </c>
      <c r="AR365" t="s">
        <v>970</v>
      </c>
      <c r="AS365" t="s">
        <v>971</v>
      </c>
      <c r="AT365" t="s">
        <v>5235</v>
      </c>
      <c r="AU365">
        <v>1998</v>
      </c>
      <c r="AV365">
        <v>25</v>
      </c>
      <c r="AW365">
        <v>21</v>
      </c>
      <c r="AX365" t="s">
        <v>74</v>
      </c>
      <c r="AY365" t="s">
        <v>74</v>
      </c>
      <c r="AZ365" t="s">
        <v>74</v>
      </c>
      <c r="BA365" t="s">
        <v>74</v>
      </c>
      <c r="BB365">
        <v>3951</v>
      </c>
      <c r="BC365">
        <v>3954</v>
      </c>
      <c r="BD365" t="s">
        <v>74</v>
      </c>
      <c r="BE365" t="s">
        <v>5236</v>
      </c>
      <c r="BF365" t="str">
        <f>HYPERLINK("http://dx.doi.org/10.1029/1998GL900052","http://dx.doi.org/10.1029/1998GL900052")</f>
        <v>http://dx.doi.org/10.1029/1998GL900052</v>
      </c>
      <c r="BG365" t="s">
        <v>74</v>
      </c>
      <c r="BH365" t="s">
        <v>74</v>
      </c>
      <c r="BI365">
        <v>4</v>
      </c>
      <c r="BJ365" t="s">
        <v>192</v>
      </c>
      <c r="BK365" t="s">
        <v>95</v>
      </c>
      <c r="BL365" t="s">
        <v>193</v>
      </c>
      <c r="BM365" t="s">
        <v>5237</v>
      </c>
      <c r="BN365" t="s">
        <v>74</v>
      </c>
      <c r="BO365" t="s">
        <v>5238</v>
      </c>
      <c r="BP365" t="s">
        <v>74</v>
      </c>
      <c r="BQ365" t="s">
        <v>74</v>
      </c>
      <c r="BR365" t="s">
        <v>98</v>
      </c>
      <c r="BS365" t="s">
        <v>5239</v>
      </c>
      <c r="BT365" t="str">
        <f>HYPERLINK("https%3A%2F%2Fwww.webofscience.com%2Fwos%2Fwoscc%2Ffull-record%2FWOS:000076839800009","View Full Record in Web of Science")</f>
        <v>View Full Record in Web of Science</v>
      </c>
    </row>
    <row r="366" spans="1:72" x14ac:dyDescent="0.15">
      <c r="A366" t="s">
        <v>72</v>
      </c>
      <c r="B366" t="s">
        <v>5240</v>
      </c>
      <c r="C366" t="s">
        <v>74</v>
      </c>
      <c r="D366" t="s">
        <v>74</v>
      </c>
      <c r="E366" t="s">
        <v>74</v>
      </c>
      <c r="F366" t="s">
        <v>5240</v>
      </c>
      <c r="G366" t="s">
        <v>74</v>
      </c>
      <c r="H366" t="s">
        <v>74</v>
      </c>
      <c r="I366" t="s">
        <v>5241</v>
      </c>
      <c r="J366" t="s">
        <v>5242</v>
      </c>
      <c r="K366" t="s">
        <v>74</v>
      </c>
      <c r="L366" t="s">
        <v>74</v>
      </c>
      <c r="M366" t="s">
        <v>77</v>
      </c>
      <c r="N366" t="s">
        <v>103</v>
      </c>
      <c r="O366" t="s">
        <v>74</v>
      </c>
      <c r="P366" t="s">
        <v>74</v>
      </c>
      <c r="Q366" t="s">
        <v>74</v>
      </c>
      <c r="R366" t="s">
        <v>74</v>
      </c>
      <c r="S366" t="s">
        <v>74</v>
      </c>
      <c r="T366" t="s">
        <v>5243</v>
      </c>
      <c r="U366" t="s">
        <v>5244</v>
      </c>
      <c r="V366" t="s">
        <v>5245</v>
      </c>
      <c r="W366" t="s">
        <v>5246</v>
      </c>
      <c r="X366" t="s">
        <v>5247</v>
      </c>
      <c r="Y366" t="s">
        <v>5248</v>
      </c>
      <c r="Z366" t="s">
        <v>74</v>
      </c>
      <c r="AA366" t="s">
        <v>5249</v>
      </c>
      <c r="AB366" t="s">
        <v>5250</v>
      </c>
      <c r="AC366" t="s">
        <v>74</v>
      </c>
      <c r="AD366" t="s">
        <v>74</v>
      </c>
      <c r="AE366" t="s">
        <v>74</v>
      </c>
      <c r="AF366" t="s">
        <v>74</v>
      </c>
      <c r="AG366">
        <v>67</v>
      </c>
      <c r="AH366">
        <v>75</v>
      </c>
      <c r="AI366">
        <v>84</v>
      </c>
      <c r="AJ366">
        <v>1</v>
      </c>
      <c r="AK366">
        <v>6</v>
      </c>
      <c r="AL366" t="s">
        <v>5251</v>
      </c>
      <c r="AM366" t="s">
        <v>1121</v>
      </c>
      <c r="AN366" t="s">
        <v>5252</v>
      </c>
      <c r="AO366" t="s">
        <v>5253</v>
      </c>
      <c r="AP366" t="s">
        <v>74</v>
      </c>
      <c r="AQ366" t="s">
        <v>74</v>
      </c>
      <c r="AR366" t="s">
        <v>5242</v>
      </c>
      <c r="AS366" t="s">
        <v>5254</v>
      </c>
      <c r="AT366" t="s">
        <v>5013</v>
      </c>
      <c r="AU366">
        <v>1998</v>
      </c>
      <c r="AV366">
        <v>8</v>
      </c>
      <c r="AW366">
        <v>6</v>
      </c>
      <c r="AX366" t="s">
        <v>74</v>
      </c>
      <c r="AY366" t="s">
        <v>74</v>
      </c>
      <c r="AZ366" t="s">
        <v>74</v>
      </c>
      <c r="BA366" t="s">
        <v>74</v>
      </c>
      <c r="BB366">
        <v>659</v>
      </c>
      <c r="BC366">
        <v>674</v>
      </c>
      <c r="BD366" t="s">
        <v>74</v>
      </c>
      <c r="BE366" t="s">
        <v>5255</v>
      </c>
      <c r="BF366" t="str">
        <f>HYPERLINK("http://dx.doi.org/10.1191/095968398669095576","http://dx.doi.org/10.1191/095968398669095576")</f>
        <v>http://dx.doi.org/10.1191/095968398669095576</v>
      </c>
      <c r="BG366" t="s">
        <v>74</v>
      </c>
      <c r="BH366" t="s">
        <v>74</v>
      </c>
      <c r="BI366">
        <v>16</v>
      </c>
      <c r="BJ366" t="s">
        <v>1044</v>
      </c>
      <c r="BK366" t="s">
        <v>95</v>
      </c>
      <c r="BL366" t="s">
        <v>936</v>
      </c>
      <c r="BM366" t="s">
        <v>5256</v>
      </c>
      <c r="BN366" t="s">
        <v>74</v>
      </c>
      <c r="BO366" t="s">
        <v>74</v>
      </c>
      <c r="BP366" t="s">
        <v>74</v>
      </c>
      <c r="BQ366" t="s">
        <v>74</v>
      </c>
      <c r="BR366" t="s">
        <v>98</v>
      </c>
      <c r="BS366" t="s">
        <v>5257</v>
      </c>
      <c r="BT366" t="str">
        <f>HYPERLINK("https%3A%2F%2Fwww.webofscience.com%2Fwos%2Fwoscc%2Ffull-record%2FWOS:000077236500002","View Full Record in Web of Science")</f>
        <v>View Full Record in Web of Science</v>
      </c>
    </row>
    <row r="367" spans="1:72" x14ac:dyDescent="0.15">
      <c r="A367" t="s">
        <v>72</v>
      </c>
      <c r="B367" t="s">
        <v>5258</v>
      </c>
      <c r="C367" t="s">
        <v>74</v>
      </c>
      <c r="D367" t="s">
        <v>74</v>
      </c>
      <c r="E367" t="s">
        <v>74</v>
      </c>
      <c r="F367" t="s">
        <v>5258</v>
      </c>
      <c r="G367" t="s">
        <v>74</v>
      </c>
      <c r="H367" t="s">
        <v>74</v>
      </c>
      <c r="I367" t="s">
        <v>5259</v>
      </c>
      <c r="J367" t="s">
        <v>5260</v>
      </c>
      <c r="K367" t="s">
        <v>74</v>
      </c>
      <c r="L367" t="s">
        <v>74</v>
      </c>
      <c r="M367" t="s">
        <v>77</v>
      </c>
      <c r="N367" t="s">
        <v>103</v>
      </c>
      <c r="O367" t="s">
        <v>74</v>
      </c>
      <c r="P367" t="s">
        <v>74</v>
      </c>
      <c r="Q367" t="s">
        <v>74</v>
      </c>
      <c r="R367" t="s">
        <v>74</v>
      </c>
      <c r="S367" t="s">
        <v>74</v>
      </c>
      <c r="T367" t="s">
        <v>74</v>
      </c>
      <c r="U367" t="s">
        <v>5261</v>
      </c>
      <c r="V367" t="s">
        <v>5262</v>
      </c>
      <c r="W367" t="s">
        <v>5263</v>
      </c>
      <c r="X367" t="s">
        <v>5264</v>
      </c>
      <c r="Y367" t="s">
        <v>5265</v>
      </c>
      <c r="Z367" t="s">
        <v>74</v>
      </c>
      <c r="AA367" t="s">
        <v>5266</v>
      </c>
      <c r="AB367" t="s">
        <v>5267</v>
      </c>
      <c r="AC367" t="s">
        <v>74</v>
      </c>
      <c r="AD367" t="s">
        <v>74</v>
      </c>
      <c r="AE367" t="s">
        <v>74</v>
      </c>
      <c r="AF367" t="s">
        <v>74</v>
      </c>
      <c r="AG367">
        <v>84</v>
      </c>
      <c r="AH367">
        <v>92</v>
      </c>
      <c r="AI367">
        <v>98</v>
      </c>
      <c r="AJ367">
        <v>1</v>
      </c>
      <c r="AK367">
        <v>6</v>
      </c>
      <c r="AL367" t="s">
        <v>5025</v>
      </c>
      <c r="AM367" t="s">
        <v>5026</v>
      </c>
      <c r="AN367" t="s">
        <v>5027</v>
      </c>
      <c r="AO367" t="s">
        <v>5268</v>
      </c>
      <c r="AP367" t="s">
        <v>74</v>
      </c>
      <c r="AQ367" t="s">
        <v>74</v>
      </c>
      <c r="AR367" t="s">
        <v>5269</v>
      </c>
      <c r="AS367" t="s">
        <v>5270</v>
      </c>
      <c r="AT367" t="s">
        <v>5013</v>
      </c>
      <c r="AU367">
        <v>1998</v>
      </c>
      <c r="AV367">
        <v>106</v>
      </c>
      <c r="AW367">
        <v>6</v>
      </c>
      <c r="AX367" t="s">
        <v>74</v>
      </c>
      <c r="AY367" t="s">
        <v>74</v>
      </c>
      <c r="AZ367" t="s">
        <v>74</v>
      </c>
      <c r="BA367" t="s">
        <v>74</v>
      </c>
      <c r="BB367">
        <v>647</v>
      </c>
      <c r="BC367">
        <v>659</v>
      </c>
      <c r="BD367" t="s">
        <v>74</v>
      </c>
      <c r="BE367" t="s">
        <v>5271</v>
      </c>
      <c r="BF367" t="str">
        <f>HYPERLINK("http://dx.doi.org/10.1086/516051","http://dx.doi.org/10.1086/516051")</f>
        <v>http://dx.doi.org/10.1086/516051</v>
      </c>
      <c r="BG367" t="s">
        <v>74</v>
      </c>
      <c r="BH367" t="s">
        <v>74</v>
      </c>
      <c r="BI367">
        <v>13</v>
      </c>
      <c r="BJ367" t="s">
        <v>193</v>
      </c>
      <c r="BK367" t="s">
        <v>95</v>
      </c>
      <c r="BL367" t="s">
        <v>193</v>
      </c>
      <c r="BM367" t="s">
        <v>5272</v>
      </c>
      <c r="BN367" t="s">
        <v>74</v>
      </c>
      <c r="BO367" t="s">
        <v>74</v>
      </c>
      <c r="BP367" t="s">
        <v>74</v>
      </c>
      <c r="BQ367" t="s">
        <v>74</v>
      </c>
      <c r="BR367" t="s">
        <v>98</v>
      </c>
      <c r="BS367" t="s">
        <v>5273</v>
      </c>
      <c r="BT367" t="str">
        <f>HYPERLINK("https%3A%2F%2Fwww.webofscience.com%2Fwos%2Fwoscc%2Ffull-record%2FWOS:000077020200001","View Full Record in Web of Science")</f>
        <v>View Full Record in Web of Science</v>
      </c>
    </row>
    <row r="368" spans="1:72" x14ac:dyDescent="0.15">
      <c r="A368" t="s">
        <v>72</v>
      </c>
      <c r="B368" t="s">
        <v>5274</v>
      </c>
      <c r="C368" t="s">
        <v>74</v>
      </c>
      <c r="D368" t="s">
        <v>74</v>
      </c>
      <c r="E368" t="s">
        <v>74</v>
      </c>
      <c r="F368" t="s">
        <v>5274</v>
      </c>
      <c r="G368" t="s">
        <v>74</v>
      </c>
      <c r="H368" t="s">
        <v>74</v>
      </c>
      <c r="I368" t="s">
        <v>5275</v>
      </c>
      <c r="J368" t="s">
        <v>1450</v>
      </c>
      <c r="K368" t="s">
        <v>74</v>
      </c>
      <c r="L368" t="s">
        <v>74</v>
      </c>
      <c r="M368" t="s">
        <v>77</v>
      </c>
      <c r="N368" t="s">
        <v>103</v>
      </c>
      <c r="O368" t="s">
        <v>74</v>
      </c>
      <c r="P368" t="s">
        <v>74</v>
      </c>
      <c r="Q368" t="s">
        <v>74</v>
      </c>
      <c r="R368" t="s">
        <v>74</v>
      </c>
      <c r="S368" t="s">
        <v>74</v>
      </c>
      <c r="T368" t="s">
        <v>74</v>
      </c>
      <c r="U368" t="s">
        <v>5276</v>
      </c>
      <c r="V368" t="s">
        <v>5277</v>
      </c>
      <c r="W368" t="s">
        <v>5278</v>
      </c>
      <c r="X368" t="s">
        <v>5279</v>
      </c>
      <c r="Y368" t="s">
        <v>5280</v>
      </c>
      <c r="Z368" t="s">
        <v>74</v>
      </c>
      <c r="AA368" t="s">
        <v>5281</v>
      </c>
      <c r="AB368" t="s">
        <v>5282</v>
      </c>
      <c r="AC368" t="s">
        <v>74</v>
      </c>
      <c r="AD368" t="s">
        <v>74</v>
      </c>
      <c r="AE368" t="s">
        <v>74</v>
      </c>
      <c r="AF368" t="s">
        <v>74</v>
      </c>
      <c r="AG368">
        <v>37</v>
      </c>
      <c r="AH368">
        <v>12</v>
      </c>
      <c r="AI368">
        <v>12</v>
      </c>
      <c r="AJ368">
        <v>0</v>
      </c>
      <c r="AK368">
        <v>1</v>
      </c>
      <c r="AL368" t="s">
        <v>966</v>
      </c>
      <c r="AM368" t="s">
        <v>967</v>
      </c>
      <c r="AN368" t="s">
        <v>968</v>
      </c>
      <c r="AO368" t="s">
        <v>74</v>
      </c>
      <c r="AP368" t="s">
        <v>74</v>
      </c>
      <c r="AQ368" t="s">
        <v>74</v>
      </c>
      <c r="AR368" t="s">
        <v>1460</v>
      </c>
      <c r="AS368" t="s">
        <v>1461</v>
      </c>
      <c r="AT368" t="s">
        <v>5235</v>
      </c>
      <c r="AU368">
        <v>1998</v>
      </c>
      <c r="AV368">
        <v>103</v>
      </c>
      <c r="AW368" t="s">
        <v>5283</v>
      </c>
      <c r="AX368" t="s">
        <v>74</v>
      </c>
      <c r="AY368" t="s">
        <v>74</v>
      </c>
      <c r="AZ368" t="s">
        <v>74</v>
      </c>
      <c r="BA368" t="s">
        <v>74</v>
      </c>
      <c r="BB368">
        <v>26547</v>
      </c>
      <c r="BC368">
        <v>26558</v>
      </c>
      <c r="BD368" t="s">
        <v>74</v>
      </c>
      <c r="BE368" t="s">
        <v>5284</v>
      </c>
      <c r="BF368" t="str">
        <f>HYPERLINK("http://dx.doi.org/10.1029/98JA02044","http://dx.doi.org/10.1029/98JA02044")</f>
        <v>http://dx.doi.org/10.1029/98JA02044</v>
      </c>
      <c r="BG368" t="s">
        <v>74</v>
      </c>
      <c r="BH368" t="s">
        <v>74</v>
      </c>
      <c r="BI368">
        <v>12</v>
      </c>
      <c r="BJ368" t="s">
        <v>1464</v>
      </c>
      <c r="BK368" t="s">
        <v>95</v>
      </c>
      <c r="BL368" t="s">
        <v>1464</v>
      </c>
      <c r="BM368" t="s">
        <v>5285</v>
      </c>
      <c r="BN368" t="s">
        <v>74</v>
      </c>
      <c r="BO368" t="s">
        <v>1089</v>
      </c>
      <c r="BP368" t="s">
        <v>74</v>
      </c>
      <c r="BQ368" t="s">
        <v>74</v>
      </c>
      <c r="BR368" t="s">
        <v>98</v>
      </c>
      <c r="BS368" t="s">
        <v>5286</v>
      </c>
      <c r="BT368" t="str">
        <f>HYPERLINK("https%3A%2F%2Fwww.webofscience.com%2Fwos%2Fwoscc%2Ffull-record%2FWOS:000076705500028","View Full Record in Web of Science")</f>
        <v>View Full Record in Web of Science</v>
      </c>
    </row>
    <row r="369" spans="1:72" x14ac:dyDescent="0.15">
      <c r="A369" t="s">
        <v>72</v>
      </c>
      <c r="B369" t="s">
        <v>5287</v>
      </c>
      <c r="C369" t="s">
        <v>74</v>
      </c>
      <c r="D369" t="s">
        <v>74</v>
      </c>
      <c r="E369" t="s">
        <v>74</v>
      </c>
      <c r="F369" t="s">
        <v>5287</v>
      </c>
      <c r="G369" t="s">
        <v>74</v>
      </c>
      <c r="H369" t="s">
        <v>74</v>
      </c>
      <c r="I369" t="s">
        <v>5288</v>
      </c>
      <c r="J369" t="s">
        <v>1450</v>
      </c>
      <c r="K369" t="s">
        <v>74</v>
      </c>
      <c r="L369" t="s">
        <v>74</v>
      </c>
      <c r="M369" t="s">
        <v>77</v>
      </c>
      <c r="N369" t="s">
        <v>103</v>
      </c>
      <c r="O369" t="s">
        <v>74</v>
      </c>
      <c r="P369" t="s">
        <v>74</v>
      </c>
      <c r="Q369" t="s">
        <v>74</v>
      </c>
      <c r="R369" t="s">
        <v>74</v>
      </c>
      <c r="S369" t="s">
        <v>74</v>
      </c>
      <c r="T369" t="s">
        <v>74</v>
      </c>
      <c r="U369" t="s">
        <v>5289</v>
      </c>
      <c r="V369" t="s">
        <v>5290</v>
      </c>
      <c r="W369" t="s">
        <v>5291</v>
      </c>
      <c r="X369" t="s">
        <v>5292</v>
      </c>
      <c r="Y369" t="s">
        <v>5293</v>
      </c>
      <c r="Z369" t="s">
        <v>5294</v>
      </c>
      <c r="AA369" t="s">
        <v>5295</v>
      </c>
      <c r="AB369" t="s">
        <v>5296</v>
      </c>
      <c r="AC369" t="s">
        <v>74</v>
      </c>
      <c r="AD369" t="s">
        <v>74</v>
      </c>
      <c r="AE369" t="s">
        <v>74</v>
      </c>
      <c r="AF369" t="s">
        <v>74</v>
      </c>
      <c r="AG369">
        <v>28</v>
      </c>
      <c r="AH369">
        <v>27</v>
      </c>
      <c r="AI369">
        <v>27</v>
      </c>
      <c r="AJ369">
        <v>0</v>
      </c>
      <c r="AK369">
        <v>0</v>
      </c>
      <c r="AL369" t="s">
        <v>966</v>
      </c>
      <c r="AM369" t="s">
        <v>967</v>
      </c>
      <c r="AN369" t="s">
        <v>968</v>
      </c>
      <c r="AO369" t="s">
        <v>74</v>
      </c>
      <c r="AP369" t="s">
        <v>74</v>
      </c>
      <c r="AQ369" t="s">
        <v>74</v>
      </c>
      <c r="AR369" t="s">
        <v>1460</v>
      </c>
      <c r="AS369" t="s">
        <v>1461</v>
      </c>
      <c r="AT369" t="s">
        <v>5235</v>
      </c>
      <c r="AU369">
        <v>1998</v>
      </c>
      <c r="AV369">
        <v>103</v>
      </c>
      <c r="AW369" t="s">
        <v>5283</v>
      </c>
      <c r="AX369" t="s">
        <v>74</v>
      </c>
      <c r="AY369" t="s">
        <v>74</v>
      </c>
      <c r="AZ369" t="s">
        <v>74</v>
      </c>
      <c r="BA369" t="s">
        <v>74</v>
      </c>
      <c r="BB369">
        <v>26613</v>
      </c>
      <c r="BC369">
        <v>26619</v>
      </c>
      <c r="BD369" t="s">
        <v>74</v>
      </c>
      <c r="BE369" t="s">
        <v>5297</v>
      </c>
      <c r="BF369" t="str">
        <f>HYPERLINK("http://dx.doi.org/10.1029/98JA02434","http://dx.doi.org/10.1029/98JA02434")</f>
        <v>http://dx.doi.org/10.1029/98JA02434</v>
      </c>
      <c r="BG369" t="s">
        <v>74</v>
      </c>
      <c r="BH369" t="s">
        <v>74</v>
      </c>
      <c r="BI369">
        <v>7</v>
      </c>
      <c r="BJ369" t="s">
        <v>1464</v>
      </c>
      <c r="BK369" t="s">
        <v>95</v>
      </c>
      <c r="BL369" t="s">
        <v>1464</v>
      </c>
      <c r="BM369" t="s">
        <v>5285</v>
      </c>
      <c r="BN369" t="s">
        <v>74</v>
      </c>
      <c r="BO369" t="s">
        <v>1089</v>
      </c>
      <c r="BP369" t="s">
        <v>74</v>
      </c>
      <c r="BQ369" t="s">
        <v>74</v>
      </c>
      <c r="BR369" t="s">
        <v>98</v>
      </c>
      <c r="BS369" t="s">
        <v>5298</v>
      </c>
      <c r="BT369" t="str">
        <f>HYPERLINK("https%3A%2F%2Fwww.webofscience.com%2Fwos%2Fwoscc%2Ffull-record%2FWOS:000076705500034","View Full Record in Web of Science")</f>
        <v>View Full Record in Web of Science</v>
      </c>
    </row>
    <row r="370" spans="1:72" x14ac:dyDescent="0.15">
      <c r="A370" t="s">
        <v>72</v>
      </c>
      <c r="B370" t="s">
        <v>5299</v>
      </c>
      <c r="C370" t="s">
        <v>74</v>
      </c>
      <c r="D370" t="s">
        <v>74</v>
      </c>
      <c r="E370" t="s">
        <v>74</v>
      </c>
      <c r="F370" t="s">
        <v>5299</v>
      </c>
      <c r="G370" t="s">
        <v>74</v>
      </c>
      <c r="H370" t="s">
        <v>74</v>
      </c>
      <c r="I370" t="s">
        <v>5300</v>
      </c>
      <c r="J370" t="s">
        <v>1450</v>
      </c>
      <c r="K370" t="s">
        <v>74</v>
      </c>
      <c r="L370" t="s">
        <v>74</v>
      </c>
      <c r="M370" t="s">
        <v>77</v>
      </c>
      <c r="N370" t="s">
        <v>103</v>
      </c>
      <c r="O370" t="s">
        <v>74</v>
      </c>
      <c r="P370" t="s">
        <v>74</v>
      </c>
      <c r="Q370" t="s">
        <v>74</v>
      </c>
      <c r="R370" t="s">
        <v>74</v>
      </c>
      <c r="S370" t="s">
        <v>74</v>
      </c>
      <c r="T370" t="s">
        <v>74</v>
      </c>
      <c r="U370" t="s">
        <v>74</v>
      </c>
      <c r="V370" t="s">
        <v>5301</v>
      </c>
      <c r="W370" t="s">
        <v>5302</v>
      </c>
      <c r="X370" t="s">
        <v>3505</v>
      </c>
      <c r="Y370" t="s">
        <v>5303</v>
      </c>
      <c r="Z370" t="s">
        <v>74</v>
      </c>
      <c r="AA370" t="s">
        <v>74</v>
      </c>
      <c r="AB370" t="s">
        <v>5304</v>
      </c>
      <c r="AC370" t="s">
        <v>74</v>
      </c>
      <c r="AD370" t="s">
        <v>74</v>
      </c>
      <c r="AE370" t="s">
        <v>74</v>
      </c>
      <c r="AF370" t="s">
        <v>74</v>
      </c>
      <c r="AG370">
        <v>24</v>
      </c>
      <c r="AH370">
        <v>3</v>
      </c>
      <c r="AI370">
        <v>3</v>
      </c>
      <c r="AJ370">
        <v>0</v>
      </c>
      <c r="AK370">
        <v>0</v>
      </c>
      <c r="AL370" t="s">
        <v>966</v>
      </c>
      <c r="AM370" t="s">
        <v>967</v>
      </c>
      <c r="AN370" t="s">
        <v>968</v>
      </c>
      <c r="AO370" t="s">
        <v>74</v>
      </c>
      <c r="AP370" t="s">
        <v>74</v>
      </c>
      <c r="AQ370" t="s">
        <v>74</v>
      </c>
      <c r="AR370" t="s">
        <v>1460</v>
      </c>
      <c r="AS370" t="s">
        <v>1461</v>
      </c>
      <c r="AT370" t="s">
        <v>5235</v>
      </c>
      <c r="AU370">
        <v>1998</v>
      </c>
      <c r="AV370">
        <v>103</v>
      </c>
      <c r="AW370" t="s">
        <v>5283</v>
      </c>
      <c r="AX370" t="s">
        <v>74</v>
      </c>
      <c r="AY370" t="s">
        <v>74</v>
      </c>
      <c r="AZ370" t="s">
        <v>74</v>
      </c>
      <c r="BA370" t="s">
        <v>74</v>
      </c>
      <c r="BB370">
        <v>26851</v>
      </c>
      <c r="BC370">
        <v>26857</v>
      </c>
      <c r="BD370" t="s">
        <v>74</v>
      </c>
      <c r="BE370" t="s">
        <v>5305</v>
      </c>
      <c r="BF370" t="str">
        <f>HYPERLINK("http://dx.doi.org/10.1029/98JA01926","http://dx.doi.org/10.1029/98JA01926")</f>
        <v>http://dx.doi.org/10.1029/98JA01926</v>
      </c>
      <c r="BG370" t="s">
        <v>74</v>
      </c>
      <c r="BH370" t="s">
        <v>74</v>
      </c>
      <c r="BI370">
        <v>7</v>
      </c>
      <c r="BJ370" t="s">
        <v>1464</v>
      </c>
      <c r="BK370" t="s">
        <v>95</v>
      </c>
      <c r="BL370" t="s">
        <v>1464</v>
      </c>
      <c r="BM370" t="s">
        <v>5285</v>
      </c>
      <c r="BN370" t="s">
        <v>74</v>
      </c>
      <c r="BO370" t="s">
        <v>74</v>
      </c>
      <c r="BP370" t="s">
        <v>74</v>
      </c>
      <c r="BQ370" t="s">
        <v>74</v>
      </c>
      <c r="BR370" t="s">
        <v>98</v>
      </c>
      <c r="BS370" t="s">
        <v>5306</v>
      </c>
      <c r="BT370" t="str">
        <f>HYPERLINK("https%3A%2F%2Fwww.webofscience.com%2Fwos%2Fwoscc%2Ffull-record%2FWOS:000076705500055","View Full Record in Web of Science")</f>
        <v>View Full Record in Web of Science</v>
      </c>
    </row>
    <row r="371" spans="1:72" x14ac:dyDescent="0.15">
      <c r="A371" t="s">
        <v>72</v>
      </c>
      <c r="B371" t="s">
        <v>5307</v>
      </c>
      <c r="C371" t="s">
        <v>74</v>
      </c>
      <c r="D371" t="s">
        <v>74</v>
      </c>
      <c r="E371" t="s">
        <v>74</v>
      </c>
      <c r="F371" t="s">
        <v>5307</v>
      </c>
      <c r="G371" t="s">
        <v>74</v>
      </c>
      <c r="H371" t="s">
        <v>74</v>
      </c>
      <c r="I371" t="s">
        <v>5308</v>
      </c>
      <c r="J371" t="s">
        <v>1613</v>
      </c>
      <c r="K371" t="s">
        <v>74</v>
      </c>
      <c r="L371" t="s">
        <v>74</v>
      </c>
      <c r="M371" t="s">
        <v>77</v>
      </c>
      <c r="N371" t="s">
        <v>123</v>
      </c>
      <c r="O371" t="s">
        <v>5309</v>
      </c>
      <c r="P371" t="s">
        <v>5310</v>
      </c>
      <c r="Q371" t="s">
        <v>3084</v>
      </c>
      <c r="R371" t="s">
        <v>74</v>
      </c>
      <c r="S371" t="s">
        <v>74</v>
      </c>
      <c r="T371" t="s">
        <v>5311</v>
      </c>
      <c r="U371" t="s">
        <v>5312</v>
      </c>
      <c r="V371" t="s">
        <v>5313</v>
      </c>
      <c r="W371" t="s">
        <v>5314</v>
      </c>
      <c r="X371" t="s">
        <v>5315</v>
      </c>
      <c r="Y371" t="s">
        <v>5316</v>
      </c>
      <c r="Z371" t="s">
        <v>74</v>
      </c>
      <c r="AA371" t="s">
        <v>74</v>
      </c>
      <c r="AB371" t="s">
        <v>74</v>
      </c>
      <c r="AC371" t="s">
        <v>74</v>
      </c>
      <c r="AD371" t="s">
        <v>74</v>
      </c>
      <c r="AE371" t="s">
        <v>74</v>
      </c>
      <c r="AF371" t="s">
        <v>74</v>
      </c>
      <c r="AG371">
        <v>38</v>
      </c>
      <c r="AH371">
        <v>128</v>
      </c>
      <c r="AI371">
        <v>136</v>
      </c>
      <c r="AJ371">
        <v>0</v>
      </c>
      <c r="AK371">
        <v>14</v>
      </c>
      <c r="AL371" t="s">
        <v>1037</v>
      </c>
      <c r="AM371" t="s">
        <v>1038</v>
      </c>
      <c r="AN371" t="s">
        <v>1039</v>
      </c>
      <c r="AO371" t="s">
        <v>1623</v>
      </c>
      <c r="AP371" t="s">
        <v>74</v>
      </c>
      <c r="AQ371" t="s">
        <v>74</v>
      </c>
      <c r="AR371" t="s">
        <v>1625</v>
      </c>
      <c r="AS371" t="s">
        <v>1626</v>
      </c>
      <c r="AT371" t="s">
        <v>5013</v>
      </c>
      <c r="AU371">
        <v>1998</v>
      </c>
      <c r="AV371">
        <v>17</v>
      </c>
      <c r="AW371" t="s">
        <v>5317</v>
      </c>
      <c r="AX371" t="s">
        <v>74</v>
      </c>
      <c r="AY371" t="s">
        <v>74</v>
      </c>
      <c r="AZ371" t="s">
        <v>74</v>
      </c>
      <c r="BA371" t="s">
        <v>74</v>
      </c>
      <c r="BB371">
        <v>5</v>
      </c>
      <c r="BC371">
        <v>23</v>
      </c>
      <c r="BD371" t="s">
        <v>74</v>
      </c>
      <c r="BE371" t="s">
        <v>5318</v>
      </c>
      <c r="BF371" t="str">
        <f>HYPERLINK("http://dx.doi.org/10.1016/S0924-7963(98)00026-8","http://dx.doi.org/10.1016/S0924-7963(98)00026-8")</f>
        <v>http://dx.doi.org/10.1016/S0924-7963(98)00026-8</v>
      </c>
      <c r="BG371" t="s">
        <v>74</v>
      </c>
      <c r="BH371" t="s">
        <v>74</v>
      </c>
      <c r="BI371">
        <v>19</v>
      </c>
      <c r="BJ371" t="s">
        <v>1628</v>
      </c>
      <c r="BK371" t="s">
        <v>235</v>
      </c>
      <c r="BL371" t="s">
        <v>1629</v>
      </c>
      <c r="BM371" t="s">
        <v>5319</v>
      </c>
      <c r="BN371" t="s">
        <v>74</v>
      </c>
      <c r="BO371" t="s">
        <v>74</v>
      </c>
      <c r="BP371" t="s">
        <v>74</v>
      </c>
      <c r="BQ371" t="s">
        <v>74</v>
      </c>
      <c r="BR371" t="s">
        <v>98</v>
      </c>
      <c r="BS371" t="s">
        <v>5320</v>
      </c>
      <c r="BT371" t="str">
        <f>HYPERLINK("https%3A%2F%2Fwww.webofscience.com%2Fwos%2Fwoscc%2Ffull-record%2FWOS:000077463500002","View Full Record in Web of Science")</f>
        <v>View Full Record in Web of Science</v>
      </c>
    </row>
    <row r="372" spans="1:72" x14ac:dyDescent="0.15">
      <c r="A372" t="s">
        <v>72</v>
      </c>
      <c r="B372" t="s">
        <v>5321</v>
      </c>
      <c r="C372" t="s">
        <v>74</v>
      </c>
      <c r="D372" t="s">
        <v>74</v>
      </c>
      <c r="E372" t="s">
        <v>74</v>
      </c>
      <c r="F372" t="s">
        <v>5321</v>
      </c>
      <c r="G372" t="s">
        <v>74</v>
      </c>
      <c r="H372" t="s">
        <v>74</v>
      </c>
      <c r="I372" t="s">
        <v>5322</v>
      </c>
      <c r="J372" t="s">
        <v>1613</v>
      </c>
      <c r="K372" t="s">
        <v>74</v>
      </c>
      <c r="L372" t="s">
        <v>74</v>
      </c>
      <c r="M372" t="s">
        <v>77</v>
      </c>
      <c r="N372" t="s">
        <v>123</v>
      </c>
      <c r="O372" t="s">
        <v>5309</v>
      </c>
      <c r="P372" t="s">
        <v>5310</v>
      </c>
      <c r="Q372" t="s">
        <v>3084</v>
      </c>
      <c r="R372" t="s">
        <v>74</v>
      </c>
      <c r="S372" t="s">
        <v>74</v>
      </c>
      <c r="T372" t="s">
        <v>5323</v>
      </c>
      <c r="U372" t="s">
        <v>5324</v>
      </c>
      <c r="V372" t="s">
        <v>5325</v>
      </c>
      <c r="W372" t="s">
        <v>5326</v>
      </c>
      <c r="X372" t="s">
        <v>5327</v>
      </c>
      <c r="Y372" t="s">
        <v>5328</v>
      </c>
      <c r="Z372" t="s">
        <v>5329</v>
      </c>
      <c r="AA372" t="s">
        <v>74</v>
      </c>
      <c r="AB372" t="s">
        <v>74</v>
      </c>
      <c r="AC372" t="s">
        <v>74</v>
      </c>
      <c r="AD372" t="s">
        <v>74</v>
      </c>
      <c r="AE372" t="s">
        <v>74</v>
      </c>
      <c r="AF372" t="s">
        <v>74</v>
      </c>
      <c r="AG372">
        <v>24</v>
      </c>
      <c r="AH372">
        <v>39</v>
      </c>
      <c r="AI372">
        <v>42</v>
      </c>
      <c r="AJ372">
        <v>0</v>
      </c>
      <c r="AK372">
        <v>16</v>
      </c>
      <c r="AL372" t="s">
        <v>1037</v>
      </c>
      <c r="AM372" t="s">
        <v>1038</v>
      </c>
      <c r="AN372" t="s">
        <v>1039</v>
      </c>
      <c r="AO372" t="s">
        <v>1623</v>
      </c>
      <c r="AP372" t="s">
        <v>1624</v>
      </c>
      <c r="AQ372" t="s">
        <v>74</v>
      </c>
      <c r="AR372" t="s">
        <v>1625</v>
      </c>
      <c r="AS372" t="s">
        <v>1626</v>
      </c>
      <c r="AT372" t="s">
        <v>5013</v>
      </c>
      <c r="AU372">
        <v>1998</v>
      </c>
      <c r="AV372">
        <v>17</v>
      </c>
      <c r="AW372" t="s">
        <v>5317</v>
      </c>
      <c r="AX372" t="s">
        <v>74</v>
      </c>
      <c r="AY372" t="s">
        <v>74</v>
      </c>
      <c r="AZ372" t="s">
        <v>74</v>
      </c>
      <c r="BA372" t="s">
        <v>74</v>
      </c>
      <c r="BB372">
        <v>25</v>
      </c>
      <c r="BC372">
        <v>38</v>
      </c>
      <c r="BD372" t="s">
        <v>74</v>
      </c>
      <c r="BE372" t="s">
        <v>5330</v>
      </c>
      <c r="BF372" t="str">
        <f>HYPERLINK("http://dx.doi.org/10.1016/S0924-7963(98)00027-X","http://dx.doi.org/10.1016/S0924-7963(98)00027-X")</f>
        <v>http://dx.doi.org/10.1016/S0924-7963(98)00027-X</v>
      </c>
      <c r="BG372" t="s">
        <v>74</v>
      </c>
      <c r="BH372" t="s">
        <v>74</v>
      </c>
      <c r="BI372">
        <v>14</v>
      </c>
      <c r="BJ372" t="s">
        <v>1628</v>
      </c>
      <c r="BK372" t="s">
        <v>144</v>
      </c>
      <c r="BL372" t="s">
        <v>1629</v>
      </c>
      <c r="BM372" t="s">
        <v>5319</v>
      </c>
      <c r="BN372" t="s">
        <v>74</v>
      </c>
      <c r="BO372" t="s">
        <v>483</v>
      </c>
      <c r="BP372" t="s">
        <v>74</v>
      </c>
      <c r="BQ372" t="s">
        <v>74</v>
      </c>
      <c r="BR372" t="s">
        <v>98</v>
      </c>
      <c r="BS372" t="s">
        <v>5331</v>
      </c>
      <c r="BT372" t="str">
        <f>HYPERLINK("https%3A%2F%2Fwww.webofscience.com%2Fwos%2Fwoscc%2Ffull-record%2FWOS:000077463500003","View Full Record in Web of Science")</f>
        <v>View Full Record in Web of Science</v>
      </c>
    </row>
    <row r="373" spans="1:72" x14ac:dyDescent="0.15">
      <c r="A373" t="s">
        <v>72</v>
      </c>
      <c r="B373" t="s">
        <v>5332</v>
      </c>
      <c r="C373" t="s">
        <v>74</v>
      </c>
      <c r="D373" t="s">
        <v>74</v>
      </c>
      <c r="E373" t="s">
        <v>74</v>
      </c>
      <c r="F373" t="s">
        <v>5332</v>
      </c>
      <c r="G373" t="s">
        <v>74</v>
      </c>
      <c r="H373" t="s">
        <v>74</v>
      </c>
      <c r="I373" t="s">
        <v>5333</v>
      </c>
      <c r="J373" t="s">
        <v>1613</v>
      </c>
      <c r="K373" t="s">
        <v>74</v>
      </c>
      <c r="L373" t="s">
        <v>74</v>
      </c>
      <c r="M373" t="s">
        <v>77</v>
      </c>
      <c r="N373" t="s">
        <v>123</v>
      </c>
      <c r="O373" t="s">
        <v>5309</v>
      </c>
      <c r="P373" t="s">
        <v>5310</v>
      </c>
      <c r="Q373" t="s">
        <v>3084</v>
      </c>
      <c r="R373" t="s">
        <v>74</v>
      </c>
      <c r="S373" t="s">
        <v>74</v>
      </c>
      <c r="T373" t="s">
        <v>5334</v>
      </c>
      <c r="U373" t="s">
        <v>5335</v>
      </c>
      <c r="V373" t="s">
        <v>5336</v>
      </c>
      <c r="W373" t="s">
        <v>508</v>
      </c>
      <c r="X373" t="s">
        <v>509</v>
      </c>
      <c r="Y373" t="s">
        <v>5337</v>
      </c>
      <c r="Z373" t="s">
        <v>5338</v>
      </c>
      <c r="AA373" t="s">
        <v>74</v>
      </c>
      <c r="AB373" t="s">
        <v>74</v>
      </c>
      <c r="AC373" t="s">
        <v>74</v>
      </c>
      <c r="AD373" t="s">
        <v>74</v>
      </c>
      <c r="AE373" t="s">
        <v>74</v>
      </c>
      <c r="AF373" t="s">
        <v>74</v>
      </c>
      <c r="AG373">
        <v>50</v>
      </c>
      <c r="AH373">
        <v>11</v>
      </c>
      <c r="AI373">
        <v>12</v>
      </c>
      <c r="AJ373">
        <v>0</v>
      </c>
      <c r="AK373">
        <v>13</v>
      </c>
      <c r="AL373" t="s">
        <v>1037</v>
      </c>
      <c r="AM373" t="s">
        <v>1038</v>
      </c>
      <c r="AN373" t="s">
        <v>1039</v>
      </c>
      <c r="AO373" t="s">
        <v>1623</v>
      </c>
      <c r="AP373" t="s">
        <v>74</v>
      </c>
      <c r="AQ373" t="s">
        <v>74</v>
      </c>
      <c r="AR373" t="s">
        <v>1625</v>
      </c>
      <c r="AS373" t="s">
        <v>1626</v>
      </c>
      <c r="AT373" t="s">
        <v>5013</v>
      </c>
      <c r="AU373">
        <v>1998</v>
      </c>
      <c r="AV373">
        <v>17</v>
      </c>
      <c r="AW373" t="s">
        <v>5317</v>
      </c>
      <c r="AX373" t="s">
        <v>74</v>
      </c>
      <c r="AY373" t="s">
        <v>74</v>
      </c>
      <c r="AZ373" t="s">
        <v>74</v>
      </c>
      <c r="BA373" t="s">
        <v>74</v>
      </c>
      <c r="BB373">
        <v>77</v>
      </c>
      <c r="BC373">
        <v>85</v>
      </c>
      <c r="BD373" t="s">
        <v>74</v>
      </c>
      <c r="BE373" t="s">
        <v>5339</v>
      </c>
      <c r="BF373" t="str">
        <f>HYPERLINK("http://dx.doi.org/10.1016/S0924-7963(98)00030-X","http://dx.doi.org/10.1016/S0924-7963(98)00030-X")</f>
        <v>http://dx.doi.org/10.1016/S0924-7963(98)00030-X</v>
      </c>
      <c r="BG373" t="s">
        <v>74</v>
      </c>
      <c r="BH373" t="s">
        <v>74</v>
      </c>
      <c r="BI373">
        <v>9</v>
      </c>
      <c r="BJ373" t="s">
        <v>1628</v>
      </c>
      <c r="BK373" t="s">
        <v>235</v>
      </c>
      <c r="BL373" t="s">
        <v>1629</v>
      </c>
      <c r="BM373" t="s">
        <v>5319</v>
      </c>
      <c r="BN373" t="s">
        <v>74</v>
      </c>
      <c r="BO373" t="s">
        <v>74</v>
      </c>
      <c r="BP373" t="s">
        <v>74</v>
      </c>
      <c r="BQ373" t="s">
        <v>74</v>
      </c>
      <c r="BR373" t="s">
        <v>98</v>
      </c>
      <c r="BS373" t="s">
        <v>5340</v>
      </c>
      <c r="BT373" t="str">
        <f>HYPERLINK("https%3A%2F%2Fwww.webofscience.com%2Fwos%2Fwoscc%2Ffull-record%2FWOS:000077463500006","View Full Record in Web of Science")</f>
        <v>View Full Record in Web of Science</v>
      </c>
    </row>
    <row r="374" spans="1:72" x14ac:dyDescent="0.15">
      <c r="A374" t="s">
        <v>72</v>
      </c>
      <c r="B374" t="s">
        <v>5341</v>
      </c>
      <c r="C374" t="s">
        <v>74</v>
      </c>
      <c r="D374" t="s">
        <v>74</v>
      </c>
      <c r="E374" t="s">
        <v>74</v>
      </c>
      <c r="F374" t="s">
        <v>5341</v>
      </c>
      <c r="G374" t="s">
        <v>74</v>
      </c>
      <c r="H374" t="s">
        <v>74</v>
      </c>
      <c r="I374" t="s">
        <v>5342</v>
      </c>
      <c r="J374" t="s">
        <v>1613</v>
      </c>
      <c r="K374" t="s">
        <v>74</v>
      </c>
      <c r="L374" t="s">
        <v>74</v>
      </c>
      <c r="M374" t="s">
        <v>77</v>
      </c>
      <c r="N374" t="s">
        <v>123</v>
      </c>
      <c r="O374" t="s">
        <v>5309</v>
      </c>
      <c r="P374" t="s">
        <v>5310</v>
      </c>
      <c r="Q374" t="s">
        <v>3084</v>
      </c>
      <c r="R374" t="s">
        <v>74</v>
      </c>
      <c r="S374" t="s">
        <v>74</v>
      </c>
      <c r="T374" t="s">
        <v>5343</v>
      </c>
      <c r="U374" t="s">
        <v>5344</v>
      </c>
      <c r="V374" t="s">
        <v>5345</v>
      </c>
      <c r="W374" t="s">
        <v>5346</v>
      </c>
      <c r="X374" t="s">
        <v>5347</v>
      </c>
      <c r="Y374" t="s">
        <v>5348</v>
      </c>
      <c r="Z374" t="s">
        <v>74</v>
      </c>
      <c r="AA374" t="s">
        <v>74</v>
      </c>
      <c r="AB374" t="s">
        <v>74</v>
      </c>
      <c r="AC374" t="s">
        <v>74</v>
      </c>
      <c r="AD374" t="s">
        <v>74</v>
      </c>
      <c r="AE374" t="s">
        <v>74</v>
      </c>
      <c r="AF374" t="s">
        <v>74</v>
      </c>
      <c r="AG374">
        <v>56</v>
      </c>
      <c r="AH374">
        <v>14</v>
      </c>
      <c r="AI374">
        <v>15</v>
      </c>
      <c r="AJ374">
        <v>0</v>
      </c>
      <c r="AK374">
        <v>5</v>
      </c>
      <c r="AL374" t="s">
        <v>1037</v>
      </c>
      <c r="AM374" t="s">
        <v>1038</v>
      </c>
      <c r="AN374" t="s">
        <v>1039</v>
      </c>
      <c r="AO374" t="s">
        <v>1623</v>
      </c>
      <c r="AP374" t="s">
        <v>74</v>
      </c>
      <c r="AQ374" t="s">
        <v>74</v>
      </c>
      <c r="AR374" t="s">
        <v>1625</v>
      </c>
      <c r="AS374" t="s">
        <v>1626</v>
      </c>
      <c r="AT374" t="s">
        <v>5013</v>
      </c>
      <c r="AU374">
        <v>1998</v>
      </c>
      <c r="AV374">
        <v>17</v>
      </c>
      <c r="AW374" t="s">
        <v>5317</v>
      </c>
      <c r="AX374" t="s">
        <v>74</v>
      </c>
      <c r="AY374" t="s">
        <v>74</v>
      </c>
      <c r="AZ374" t="s">
        <v>74</v>
      </c>
      <c r="BA374" t="s">
        <v>74</v>
      </c>
      <c r="BB374">
        <v>97</v>
      </c>
      <c r="BC374">
        <v>113</v>
      </c>
      <c r="BD374" t="s">
        <v>74</v>
      </c>
      <c r="BE374" t="s">
        <v>5349</v>
      </c>
      <c r="BF374" t="str">
        <f>HYPERLINK("http://dx.doi.org/10.1016/S0924-7963(98)00032-3","http://dx.doi.org/10.1016/S0924-7963(98)00032-3")</f>
        <v>http://dx.doi.org/10.1016/S0924-7963(98)00032-3</v>
      </c>
      <c r="BG374" t="s">
        <v>74</v>
      </c>
      <c r="BH374" t="s">
        <v>74</v>
      </c>
      <c r="BI374">
        <v>17</v>
      </c>
      <c r="BJ374" t="s">
        <v>1628</v>
      </c>
      <c r="BK374" t="s">
        <v>235</v>
      </c>
      <c r="BL374" t="s">
        <v>1629</v>
      </c>
      <c r="BM374" t="s">
        <v>5319</v>
      </c>
      <c r="BN374" t="s">
        <v>74</v>
      </c>
      <c r="BO374" t="s">
        <v>74</v>
      </c>
      <c r="BP374" t="s">
        <v>74</v>
      </c>
      <c r="BQ374" t="s">
        <v>74</v>
      </c>
      <c r="BR374" t="s">
        <v>98</v>
      </c>
      <c r="BS374" t="s">
        <v>5350</v>
      </c>
      <c r="BT374" t="str">
        <f>HYPERLINK("https%3A%2F%2Fwww.webofscience.com%2Fwos%2Fwoscc%2Ffull-record%2FWOS:000077463500008","View Full Record in Web of Science")</f>
        <v>View Full Record in Web of Science</v>
      </c>
    </row>
    <row r="375" spans="1:72" x14ac:dyDescent="0.15">
      <c r="A375" t="s">
        <v>72</v>
      </c>
      <c r="B375" t="s">
        <v>5351</v>
      </c>
      <c r="C375" t="s">
        <v>74</v>
      </c>
      <c r="D375" t="s">
        <v>74</v>
      </c>
      <c r="E375" t="s">
        <v>74</v>
      </c>
      <c r="F375" t="s">
        <v>5351</v>
      </c>
      <c r="G375" t="s">
        <v>74</v>
      </c>
      <c r="H375" t="s">
        <v>74</v>
      </c>
      <c r="I375" t="s">
        <v>5352</v>
      </c>
      <c r="J375" t="s">
        <v>1613</v>
      </c>
      <c r="K375" t="s">
        <v>74</v>
      </c>
      <c r="L375" t="s">
        <v>74</v>
      </c>
      <c r="M375" t="s">
        <v>77</v>
      </c>
      <c r="N375" t="s">
        <v>123</v>
      </c>
      <c r="O375" t="s">
        <v>5309</v>
      </c>
      <c r="P375" t="s">
        <v>5310</v>
      </c>
      <c r="Q375" t="s">
        <v>3084</v>
      </c>
      <c r="R375" t="s">
        <v>74</v>
      </c>
      <c r="S375" t="s">
        <v>74</v>
      </c>
      <c r="T375" t="s">
        <v>5353</v>
      </c>
      <c r="U375" t="s">
        <v>5354</v>
      </c>
      <c r="V375" t="s">
        <v>5355</v>
      </c>
      <c r="W375" t="s">
        <v>5356</v>
      </c>
      <c r="X375" t="s">
        <v>5357</v>
      </c>
      <c r="Y375" t="s">
        <v>5358</v>
      </c>
      <c r="Z375" t="s">
        <v>5359</v>
      </c>
      <c r="AA375" t="s">
        <v>5360</v>
      </c>
      <c r="AB375" t="s">
        <v>5361</v>
      </c>
      <c r="AC375" t="s">
        <v>74</v>
      </c>
      <c r="AD375" t="s">
        <v>74</v>
      </c>
      <c r="AE375" t="s">
        <v>74</v>
      </c>
      <c r="AF375" t="s">
        <v>74</v>
      </c>
      <c r="AG375">
        <v>37</v>
      </c>
      <c r="AH375">
        <v>37</v>
      </c>
      <c r="AI375">
        <v>39</v>
      </c>
      <c r="AJ375">
        <v>0</v>
      </c>
      <c r="AK375">
        <v>10</v>
      </c>
      <c r="AL375" t="s">
        <v>1037</v>
      </c>
      <c r="AM375" t="s">
        <v>1038</v>
      </c>
      <c r="AN375" t="s">
        <v>1039</v>
      </c>
      <c r="AO375" t="s">
        <v>1623</v>
      </c>
      <c r="AP375" t="s">
        <v>74</v>
      </c>
      <c r="AQ375" t="s">
        <v>74</v>
      </c>
      <c r="AR375" t="s">
        <v>1625</v>
      </c>
      <c r="AS375" t="s">
        <v>1626</v>
      </c>
      <c r="AT375" t="s">
        <v>5013</v>
      </c>
      <c r="AU375">
        <v>1998</v>
      </c>
      <c r="AV375">
        <v>17</v>
      </c>
      <c r="AW375" t="s">
        <v>5317</v>
      </c>
      <c r="AX375" t="s">
        <v>74</v>
      </c>
      <c r="AY375" t="s">
        <v>74</v>
      </c>
      <c r="AZ375" t="s">
        <v>74</v>
      </c>
      <c r="BA375" t="s">
        <v>74</v>
      </c>
      <c r="BB375">
        <v>115</v>
      </c>
      <c r="BC375">
        <v>127</v>
      </c>
      <c r="BD375" t="s">
        <v>74</v>
      </c>
      <c r="BE375" t="s">
        <v>5362</v>
      </c>
      <c r="BF375" t="str">
        <f>HYPERLINK("http://dx.doi.org/10.1016/S0924-7963(98)00033-5","http://dx.doi.org/10.1016/S0924-7963(98)00033-5")</f>
        <v>http://dx.doi.org/10.1016/S0924-7963(98)00033-5</v>
      </c>
      <c r="BG375" t="s">
        <v>74</v>
      </c>
      <c r="BH375" t="s">
        <v>74</v>
      </c>
      <c r="BI375">
        <v>13</v>
      </c>
      <c r="BJ375" t="s">
        <v>1628</v>
      </c>
      <c r="BK375" t="s">
        <v>235</v>
      </c>
      <c r="BL375" t="s">
        <v>1629</v>
      </c>
      <c r="BM375" t="s">
        <v>5319</v>
      </c>
      <c r="BN375" t="s">
        <v>74</v>
      </c>
      <c r="BO375" t="s">
        <v>74</v>
      </c>
      <c r="BP375" t="s">
        <v>74</v>
      </c>
      <c r="BQ375" t="s">
        <v>74</v>
      </c>
      <c r="BR375" t="s">
        <v>98</v>
      </c>
      <c r="BS375" t="s">
        <v>5363</v>
      </c>
      <c r="BT375" t="str">
        <f>HYPERLINK("https%3A%2F%2Fwww.webofscience.com%2Fwos%2Fwoscc%2Ffull-record%2FWOS:000077463500009","View Full Record in Web of Science")</f>
        <v>View Full Record in Web of Science</v>
      </c>
    </row>
    <row r="376" spans="1:72" x14ac:dyDescent="0.15">
      <c r="A376" t="s">
        <v>72</v>
      </c>
      <c r="B376" t="s">
        <v>5364</v>
      </c>
      <c r="C376" t="s">
        <v>74</v>
      </c>
      <c r="D376" t="s">
        <v>74</v>
      </c>
      <c r="E376" t="s">
        <v>74</v>
      </c>
      <c r="F376" t="s">
        <v>5364</v>
      </c>
      <c r="G376" t="s">
        <v>74</v>
      </c>
      <c r="H376" t="s">
        <v>74</v>
      </c>
      <c r="I376" t="s">
        <v>5365</v>
      </c>
      <c r="J376" t="s">
        <v>1613</v>
      </c>
      <c r="K376" t="s">
        <v>74</v>
      </c>
      <c r="L376" t="s">
        <v>74</v>
      </c>
      <c r="M376" t="s">
        <v>77</v>
      </c>
      <c r="N376" t="s">
        <v>123</v>
      </c>
      <c r="O376" t="s">
        <v>5309</v>
      </c>
      <c r="P376" t="s">
        <v>5310</v>
      </c>
      <c r="Q376" t="s">
        <v>3084</v>
      </c>
      <c r="R376" t="s">
        <v>74</v>
      </c>
      <c r="S376" t="s">
        <v>74</v>
      </c>
      <c r="T376" t="s">
        <v>5366</v>
      </c>
      <c r="U376" t="s">
        <v>5367</v>
      </c>
      <c r="V376" t="s">
        <v>5368</v>
      </c>
      <c r="W376" t="s">
        <v>5369</v>
      </c>
      <c r="X376" t="s">
        <v>5370</v>
      </c>
      <c r="Y376" t="s">
        <v>5371</v>
      </c>
      <c r="Z376" t="s">
        <v>5372</v>
      </c>
      <c r="AA376" t="s">
        <v>5373</v>
      </c>
      <c r="AB376" t="s">
        <v>5374</v>
      </c>
      <c r="AC376" t="s">
        <v>74</v>
      </c>
      <c r="AD376" t="s">
        <v>74</v>
      </c>
      <c r="AE376" t="s">
        <v>74</v>
      </c>
      <c r="AF376" t="s">
        <v>74</v>
      </c>
      <c r="AG376">
        <v>26</v>
      </c>
      <c r="AH376">
        <v>27</v>
      </c>
      <c r="AI376">
        <v>28</v>
      </c>
      <c r="AJ376">
        <v>0</v>
      </c>
      <c r="AK376">
        <v>4</v>
      </c>
      <c r="AL376" t="s">
        <v>1037</v>
      </c>
      <c r="AM376" t="s">
        <v>1038</v>
      </c>
      <c r="AN376" t="s">
        <v>1039</v>
      </c>
      <c r="AO376" t="s">
        <v>1623</v>
      </c>
      <c r="AP376" t="s">
        <v>1624</v>
      </c>
      <c r="AQ376" t="s">
        <v>74</v>
      </c>
      <c r="AR376" t="s">
        <v>1625</v>
      </c>
      <c r="AS376" t="s">
        <v>1626</v>
      </c>
      <c r="AT376" t="s">
        <v>5013</v>
      </c>
      <c r="AU376">
        <v>1998</v>
      </c>
      <c r="AV376">
        <v>17</v>
      </c>
      <c r="AW376" t="s">
        <v>5317</v>
      </c>
      <c r="AX376" t="s">
        <v>74</v>
      </c>
      <c r="AY376" t="s">
        <v>74</v>
      </c>
      <c r="AZ376" t="s">
        <v>74</v>
      </c>
      <c r="BA376" t="s">
        <v>74</v>
      </c>
      <c r="BB376">
        <v>129</v>
      </c>
      <c r="BC376">
        <v>141</v>
      </c>
      <c r="BD376" t="s">
        <v>74</v>
      </c>
      <c r="BE376" t="s">
        <v>5375</v>
      </c>
      <c r="BF376" t="str">
        <f>HYPERLINK("http://dx.doi.org/10.1016/S0924-7963(98)00034-7","http://dx.doi.org/10.1016/S0924-7963(98)00034-7")</f>
        <v>http://dx.doi.org/10.1016/S0924-7963(98)00034-7</v>
      </c>
      <c r="BG376" t="s">
        <v>74</v>
      </c>
      <c r="BH376" t="s">
        <v>74</v>
      </c>
      <c r="BI376">
        <v>13</v>
      </c>
      <c r="BJ376" t="s">
        <v>1628</v>
      </c>
      <c r="BK376" t="s">
        <v>144</v>
      </c>
      <c r="BL376" t="s">
        <v>1629</v>
      </c>
      <c r="BM376" t="s">
        <v>5319</v>
      </c>
      <c r="BN376" t="s">
        <v>74</v>
      </c>
      <c r="BO376" t="s">
        <v>74</v>
      </c>
      <c r="BP376" t="s">
        <v>74</v>
      </c>
      <c r="BQ376" t="s">
        <v>74</v>
      </c>
      <c r="BR376" t="s">
        <v>98</v>
      </c>
      <c r="BS376" t="s">
        <v>5376</v>
      </c>
      <c r="BT376" t="str">
        <f>HYPERLINK("https%3A%2F%2Fwww.webofscience.com%2Fwos%2Fwoscc%2Ffull-record%2FWOS:000077463500010","View Full Record in Web of Science")</f>
        <v>View Full Record in Web of Science</v>
      </c>
    </row>
    <row r="377" spans="1:72" x14ac:dyDescent="0.15">
      <c r="A377" t="s">
        <v>72</v>
      </c>
      <c r="B377" t="s">
        <v>5377</v>
      </c>
      <c r="C377" t="s">
        <v>74</v>
      </c>
      <c r="D377" t="s">
        <v>74</v>
      </c>
      <c r="E377" t="s">
        <v>74</v>
      </c>
      <c r="F377" t="s">
        <v>5377</v>
      </c>
      <c r="G377" t="s">
        <v>74</v>
      </c>
      <c r="H377" t="s">
        <v>74</v>
      </c>
      <c r="I377" t="s">
        <v>5378</v>
      </c>
      <c r="J377" t="s">
        <v>1613</v>
      </c>
      <c r="K377" t="s">
        <v>74</v>
      </c>
      <c r="L377" t="s">
        <v>74</v>
      </c>
      <c r="M377" t="s">
        <v>77</v>
      </c>
      <c r="N377" t="s">
        <v>123</v>
      </c>
      <c r="O377" t="s">
        <v>5309</v>
      </c>
      <c r="P377" t="s">
        <v>5310</v>
      </c>
      <c r="Q377" t="s">
        <v>3084</v>
      </c>
      <c r="R377" t="s">
        <v>74</v>
      </c>
      <c r="S377" t="s">
        <v>74</v>
      </c>
      <c r="T377" t="s">
        <v>5379</v>
      </c>
      <c r="U377" t="s">
        <v>5380</v>
      </c>
      <c r="V377" t="s">
        <v>5381</v>
      </c>
      <c r="W377" t="s">
        <v>5382</v>
      </c>
      <c r="X377" t="s">
        <v>5383</v>
      </c>
      <c r="Y377" t="s">
        <v>5384</v>
      </c>
      <c r="Z377" t="s">
        <v>5385</v>
      </c>
      <c r="AA377" t="s">
        <v>74</v>
      </c>
      <c r="AB377" t="s">
        <v>74</v>
      </c>
      <c r="AC377" t="s">
        <v>74</v>
      </c>
      <c r="AD377" t="s">
        <v>74</v>
      </c>
      <c r="AE377" t="s">
        <v>74</v>
      </c>
      <c r="AF377" t="s">
        <v>74</v>
      </c>
      <c r="AG377">
        <v>48</v>
      </c>
      <c r="AH377">
        <v>23</v>
      </c>
      <c r="AI377">
        <v>23</v>
      </c>
      <c r="AJ377">
        <v>0</v>
      </c>
      <c r="AK377">
        <v>8</v>
      </c>
      <c r="AL377" t="s">
        <v>1037</v>
      </c>
      <c r="AM377" t="s">
        <v>1038</v>
      </c>
      <c r="AN377" t="s">
        <v>1039</v>
      </c>
      <c r="AO377" t="s">
        <v>1623</v>
      </c>
      <c r="AP377" t="s">
        <v>74</v>
      </c>
      <c r="AQ377" t="s">
        <v>74</v>
      </c>
      <c r="AR377" t="s">
        <v>1625</v>
      </c>
      <c r="AS377" t="s">
        <v>1626</v>
      </c>
      <c r="AT377" t="s">
        <v>5013</v>
      </c>
      <c r="AU377">
        <v>1998</v>
      </c>
      <c r="AV377">
        <v>17</v>
      </c>
      <c r="AW377" t="s">
        <v>5317</v>
      </c>
      <c r="AX377" t="s">
        <v>74</v>
      </c>
      <c r="AY377" t="s">
        <v>74</v>
      </c>
      <c r="AZ377" t="s">
        <v>74</v>
      </c>
      <c r="BA377" t="s">
        <v>74</v>
      </c>
      <c r="BB377">
        <v>143</v>
      </c>
      <c r="BC377">
        <v>157</v>
      </c>
      <c r="BD377" t="s">
        <v>74</v>
      </c>
      <c r="BE377" t="s">
        <v>5386</v>
      </c>
      <c r="BF377" t="str">
        <f>HYPERLINK("http://dx.doi.org/10.1016/S0924-7963(98)00035-9","http://dx.doi.org/10.1016/S0924-7963(98)00035-9")</f>
        <v>http://dx.doi.org/10.1016/S0924-7963(98)00035-9</v>
      </c>
      <c r="BG377" t="s">
        <v>74</v>
      </c>
      <c r="BH377" t="s">
        <v>74</v>
      </c>
      <c r="BI377">
        <v>15</v>
      </c>
      <c r="BJ377" t="s">
        <v>1628</v>
      </c>
      <c r="BK377" t="s">
        <v>235</v>
      </c>
      <c r="BL377" t="s">
        <v>1629</v>
      </c>
      <c r="BM377" t="s">
        <v>5319</v>
      </c>
      <c r="BN377" t="s">
        <v>74</v>
      </c>
      <c r="BO377" t="s">
        <v>74</v>
      </c>
      <c r="BP377" t="s">
        <v>74</v>
      </c>
      <c r="BQ377" t="s">
        <v>74</v>
      </c>
      <c r="BR377" t="s">
        <v>98</v>
      </c>
      <c r="BS377" t="s">
        <v>5387</v>
      </c>
      <c r="BT377" t="str">
        <f>HYPERLINK("https%3A%2F%2Fwww.webofscience.com%2Fwos%2Fwoscc%2Ffull-record%2FWOS:000077463500011","View Full Record in Web of Science")</f>
        <v>View Full Record in Web of Science</v>
      </c>
    </row>
    <row r="378" spans="1:72" x14ac:dyDescent="0.15">
      <c r="A378" t="s">
        <v>72</v>
      </c>
      <c r="B378" t="s">
        <v>5388</v>
      </c>
      <c r="C378" t="s">
        <v>74</v>
      </c>
      <c r="D378" t="s">
        <v>74</v>
      </c>
      <c r="E378" t="s">
        <v>74</v>
      </c>
      <c r="F378" t="s">
        <v>5388</v>
      </c>
      <c r="G378" t="s">
        <v>74</v>
      </c>
      <c r="H378" t="s">
        <v>74</v>
      </c>
      <c r="I378" t="s">
        <v>5389</v>
      </c>
      <c r="J378" t="s">
        <v>1613</v>
      </c>
      <c r="K378" t="s">
        <v>74</v>
      </c>
      <c r="L378" t="s">
        <v>74</v>
      </c>
      <c r="M378" t="s">
        <v>77</v>
      </c>
      <c r="N378" t="s">
        <v>123</v>
      </c>
      <c r="O378" t="s">
        <v>5309</v>
      </c>
      <c r="P378" t="s">
        <v>5310</v>
      </c>
      <c r="Q378" t="s">
        <v>3084</v>
      </c>
      <c r="R378" t="s">
        <v>74</v>
      </c>
      <c r="S378" t="s">
        <v>74</v>
      </c>
      <c r="T378" t="s">
        <v>5390</v>
      </c>
      <c r="U378" t="s">
        <v>5391</v>
      </c>
      <c r="V378" t="s">
        <v>5392</v>
      </c>
      <c r="W378" t="s">
        <v>5393</v>
      </c>
      <c r="X378" t="s">
        <v>5394</v>
      </c>
      <c r="Y378" t="s">
        <v>5395</v>
      </c>
      <c r="Z378" t="s">
        <v>74</v>
      </c>
      <c r="AA378" t="s">
        <v>74</v>
      </c>
      <c r="AB378" t="s">
        <v>74</v>
      </c>
      <c r="AC378" t="s">
        <v>74</v>
      </c>
      <c r="AD378" t="s">
        <v>74</v>
      </c>
      <c r="AE378" t="s">
        <v>74</v>
      </c>
      <c r="AF378" t="s">
        <v>74</v>
      </c>
      <c r="AG378">
        <v>51</v>
      </c>
      <c r="AH378">
        <v>32</v>
      </c>
      <c r="AI378">
        <v>34</v>
      </c>
      <c r="AJ378">
        <v>3</v>
      </c>
      <c r="AK378">
        <v>17</v>
      </c>
      <c r="AL378" t="s">
        <v>1037</v>
      </c>
      <c r="AM378" t="s">
        <v>1038</v>
      </c>
      <c r="AN378" t="s">
        <v>1039</v>
      </c>
      <c r="AO378" t="s">
        <v>1623</v>
      </c>
      <c r="AP378" t="s">
        <v>74</v>
      </c>
      <c r="AQ378" t="s">
        <v>74</v>
      </c>
      <c r="AR378" t="s">
        <v>1625</v>
      </c>
      <c r="AS378" t="s">
        <v>1626</v>
      </c>
      <c r="AT378" t="s">
        <v>5013</v>
      </c>
      <c r="AU378">
        <v>1998</v>
      </c>
      <c r="AV378">
        <v>17</v>
      </c>
      <c r="AW378" t="s">
        <v>5317</v>
      </c>
      <c r="AX378" t="s">
        <v>74</v>
      </c>
      <c r="AY378" t="s">
        <v>74</v>
      </c>
      <c r="AZ378" t="s">
        <v>74</v>
      </c>
      <c r="BA378" t="s">
        <v>74</v>
      </c>
      <c r="BB378">
        <v>159</v>
      </c>
      <c r="BC378">
        <v>177</v>
      </c>
      <c r="BD378" t="s">
        <v>74</v>
      </c>
      <c r="BE378" t="s">
        <v>5396</v>
      </c>
      <c r="BF378" t="str">
        <f>HYPERLINK("http://dx.doi.org/10.1016/S0924-7963(98)00036-0","http://dx.doi.org/10.1016/S0924-7963(98)00036-0")</f>
        <v>http://dx.doi.org/10.1016/S0924-7963(98)00036-0</v>
      </c>
      <c r="BG378" t="s">
        <v>74</v>
      </c>
      <c r="BH378" t="s">
        <v>74</v>
      </c>
      <c r="BI378">
        <v>19</v>
      </c>
      <c r="BJ378" t="s">
        <v>1628</v>
      </c>
      <c r="BK378" t="s">
        <v>235</v>
      </c>
      <c r="BL378" t="s">
        <v>1629</v>
      </c>
      <c r="BM378" t="s">
        <v>5319</v>
      </c>
      <c r="BN378" t="s">
        <v>74</v>
      </c>
      <c r="BO378" t="s">
        <v>74</v>
      </c>
      <c r="BP378" t="s">
        <v>74</v>
      </c>
      <c r="BQ378" t="s">
        <v>74</v>
      </c>
      <c r="BR378" t="s">
        <v>98</v>
      </c>
      <c r="BS378" t="s">
        <v>5397</v>
      </c>
      <c r="BT378" t="str">
        <f>HYPERLINK("https%3A%2F%2Fwww.webofscience.com%2Fwos%2Fwoscc%2Ffull-record%2FWOS:000077463500012","View Full Record in Web of Science")</f>
        <v>View Full Record in Web of Science</v>
      </c>
    </row>
    <row r="379" spans="1:72" x14ac:dyDescent="0.15">
      <c r="A379" t="s">
        <v>72</v>
      </c>
      <c r="B379" t="s">
        <v>5398</v>
      </c>
      <c r="C379" t="s">
        <v>74</v>
      </c>
      <c r="D379" t="s">
        <v>74</v>
      </c>
      <c r="E379" t="s">
        <v>74</v>
      </c>
      <c r="F379" t="s">
        <v>5398</v>
      </c>
      <c r="G379" t="s">
        <v>74</v>
      </c>
      <c r="H379" t="s">
        <v>74</v>
      </c>
      <c r="I379" t="s">
        <v>5399</v>
      </c>
      <c r="J379" t="s">
        <v>1613</v>
      </c>
      <c r="K379" t="s">
        <v>74</v>
      </c>
      <c r="L379" t="s">
        <v>74</v>
      </c>
      <c r="M379" t="s">
        <v>77</v>
      </c>
      <c r="N379" t="s">
        <v>123</v>
      </c>
      <c r="O379" t="s">
        <v>5309</v>
      </c>
      <c r="P379" t="s">
        <v>5310</v>
      </c>
      <c r="Q379" t="s">
        <v>3084</v>
      </c>
      <c r="R379" t="s">
        <v>74</v>
      </c>
      <c r="S379" t="s">
        <v>74</v>
      </c>
      <c r="T379" t="s">
        <v>5400</v>
      </c>
      <c r="U379" t="s">
        <v>5401</v>
      </c>
      <c r="V379" t="s">
        <v>5402</v>
      </c>
      <c r="W379" t="s">
        <v>5403</v>
      </c>
      <c r="X379" t="s">
        <v>5404</v>
      </c>
      <c r="Y379" t="s">
        <v>5405</v>
      </c>
      <c r="Z379" t="s">
        <v>74</v>
      </c>
      <c r="AA379" t="s">
        <v>74</v>
      </c>
      <c r="AB379" t="s">
        <v>74</v>
      </c>
      <c r="AC379" t="s">
        <v>74</v>
      </c>
      <c r="AD379" t="s">
        <v>74</v>
      </c>
      <c r="AE379" t="s">
        <v>74</v>
      </c>
      <c r="AF379" t="s">
        <v>74</v>
      </c>
      <c r="AG379">
        <v>50</v>
      </c>
      <c r="AH379">
        <v>49</v>
      </c>
      <c r="AI379">
        <v>52</v>
      </c>
      <c r="AJ379">
        <v>2</v>
      </c>
      <c r="AK379">
        <v>9</v>
      </c>
      <c r="AL379" t="s">
        <v>1037</v>
      </c>
      <c r="AM379" t="s">
        <v>1038</v>
      </c>
      <c r="AN379" t="s">
        <v>1039</v>
      </c>
      <c r="AO379" t="s">
        <v>1623</v>
      </c>
      <c r="AP379" t="s">
        <v>74</v>
      </c>
      <c r="AQ379" t="s">
        <v>74</v>
      </c>
      <c r="AR379" t="s">
        <v>1625</v>
      </c>
      <c r="AS379" t="s">
        <v>1626</v>
      </c>
      <c r="AT379" t="s">
        <v>5013</v>
      </c>
      <c r="AU379">
        <v>1998</v>
      </c>
      <c r="AV379">
        <v>17</v>
      </c>
      <c r="AW379" t="s">
        <v>5317</v>
      </c>
      <c r="AX379" t="s">
        <v>74</v>
      </c>
      <c r="AY379" t="s">
        <v>74</v>
      </c>
      <c r="AZ379" t="s">
        <v>74</v>
      </c>
      <c r="BA379" t="s">
        <v>74</v>
      </c>
      <c r="BB379">
        <v>179</v>
      </c>
      <c r="BC379">
        <v>194</v>
      </c>
      <c r="BD379" t="s">
        <v>74</v>
      </c>
      <c r="BE379" t="s">
        <v>5406</v>
      </c>
      <c r="BF379" t="str">
        <f>HYPERLINK("http://dx.doi.org/10.1016/S0924-7963(98)00037-2","http://dx.doi.org/10.1016/S0924-7963(98)00037-2")</f>
        <v>http://dx.doi.org/10.1016/S0924-7963(98)00037-2</v>
      </c>
      <c r="BG379" t="s">
        <v>74</v>
      </c>
      <c r="BH379" t="s">
        <v>74</v>
      </c>
      <c r="BI379">
        <v>16</v>
      </c>
      <c r="BJ379" t="s">
        <v>1628</v>
      </c>
      <c r="BK379" t="s">
        <v>235</v>
      </c>
      <c r="BL379" t="s">
        <v>1629</v>
      </c>
      <c r="BM379" t="s">
        <v>5319</v>
      </c>
      <c r="BN379" t="s">
        <v>74</v>
      </c>
      <c r="BO379" t="s">
        <v>74</v>
      </c>
      <c r="BP379" t="s">
        <v>74</v>
      </c>
      <c r="BQ379" t="s">
        <v>74</v>
      </c>
      <c r="BR379" t="s">
        <v>98</v>
      </c>
      <c r="BS379" t="s">
        <v>5407</v>
      </c>
      <c r="BT379" t="str">
        <f>HYPERLINK("https%3A%2F%2Fwww.webofscience.com%2Fwos%2Fwoscc%2Ffull-record%2FWOS:000077463500013","View Full Record in Web of Science")</f>
        <v>View Full Record in Web of Science</v>
      </c>
    </row>
    <row r="380" spans="1:72" x14ac:dyDescent="0.15">
      <c r="A380" t="s">
        <v>72</v>
      </c>
      <c r="B380" t="s">
        <v>5408</v>
      </c>
      <c r="C380" t="s">
        <v>74</v>
      </c>
      <c r="D380" t="s">
        <v>74</v>
      </c>
      <c r="E380" t="s">
        <v>74</v>
      </c>
      <c r="F380" t="s">
        <v>5408</v>
      </c>
      <c r="G380" t="s">
        <v>74</v>
      </c>
      <c r="H380" t="s">
        <v>74</v>
      </c>
      <c r="I380" t="s">
        <v>5409</v>
      </c>
      <c r="J380" t="s">
        <v>1613</v>
      </c>
      <c r="K380" t="s">
        <v>74</v>
      </c>
      <c r="L380" t="s">
        <v>74</v>
      </c>
      <c r="M380" t="s">
        <v>77</v>
      </c>
      <c r="N380" t="s">
        <v>123</v>
      </c>
      <c r="O380" t="s">
        <v>5309</v>
      </c>
      <c r="P380" t="s">
        <v>5310</v>
      </c>
      <c r="Q380" t="s">
        <v>3084</v>
      </c>
      <c r="R380" t="s">
        <v>74</v>
      </c>
      <c r="S380" t="s">
        <v>74</v>
      </c>
      <c r="T380" t="s">
        <v>5410</v>
      </c>
      <c r="U380" t="s">
        <v>74</v>
      </c>
      <c r="V380" t="s">
        <v>5411</v>
      </c>
      <c r="W380" t="s">
        <v>5412</v>
      </c>
      <c r="X380" t="s">
        <v>2513</v>
      </c>
      <c r="Y380" t="s">
        <v>5413</v>
      </c>
      <c r="Z380" t="s">
        <v>74</v>
      </c>
      <c r="AA380" t="s">
        <v>74</v>
      </c>
      <c r="AB380" t="s">
        <v>74</v>
      </c>
      <c r="AC380" t="s">
        <v>74</v>
      </c>
      <c r="AD380" t="s">
        <v>74</v>
      </c>
      <c r="AE380" t="s">
        <v>74</v>
      </c>
      <c r="AF380" t="s">
        <v>74</v>
      </c>
      <c r="AG380">
        <v>29</v>
      </c>
      <c r="AH380">
        <v>41</v>
      </c>
      <c r="AI380">
        <v>49</v>
      </c>
      <c r="AJ380">
        <v>0</v>
      </c>
      <c r="AK380">
        <v>10</v>
      </c>
      <c r="AL380" t="s">
        <v>1037</v>
      </c>
      <c r="AM380" t="s">
        <v>1038</v>
      </c>
      <c r="AN380" t="s">
        <v>1039</v>
      </c>
      <c r="AO380" t="s">
        <v>1623</v>
      </c>
      <c r="AP380" t="s">
        <v>74</v>
      </c>
      <c r="AQ380" t="s">
        <v>74</v>
      </c>
      <c r="AR380" t="s">
        <v>1625</v>
      </c>
      <c r="AS380" t="s">
        <v>1626</v>
      </c>
      <c r="AT380" t="s">
        <v>5013</v>
      </c>
      <c r="AU380">
        <v>1998</v>
      </c>
      <c r="AV380">
        <v>17</v>
      </c>
      <c r="AW380" t="s">
        <v>5317</v>
      </c>
      <c r="AX380" t="s">
        <v>74</v>
      </c>
      <c r="AY380" t="s">
        <v>74</v>
      </c>
      <c r="AZ380" t="s">
        <v>74</v>
      </c>
      <c r="BA380" t="s">
        <v>74</v>
      </c>
      <c r="BB380">
        <v>195</v>
      </c>
      <c r="BC380">
        <v>205</v>
      </c>
      <c r="BD380" t="s">
        <v>74</v>
      </c>
      <c r="BE380" t="s">
        <v>5414</v>
      </c>
      <c r="BF380" t="str">
        <f>HYPERLINK("http://dx.doi.org/10.1016/S0924-7963(98)00038-4","http://dx.doi.org/10.1016/S0924-7963(98)00038-4")</f>
        <v>http://dx.doi.org/10.1016/S0924-7963(98)00038-4</v>
      </c>
      <c r="BG380" t="s">
        <v>74</v>
      </c>
      <c r="BH380" t="s">
        <v>74</v>
      </c>
      <c r="BI380">
        <v>11</v>
      </c>
      <c r="BJ380" t="s">
        <v>1628</v>
      </c>
      <c r="BK380" t="s">
        <v>235</v>
      </c>
      <c r="BL380" t="s">
        <v>1629</v>
      </c>
      <c r="BM380" t="s">
        <v>5319</v>
      </c>
      <c r="BN380" t="s">
        <v>74</v>
      </c>
      <c r="BO380" t="s">
        <v>74</v>
      </c>
      <c r="BP380" t="s">
        <v>74</v>
      </c>
      <c r="BQ380" t="s">
        <v>74</v>
      </c>
      <c r="BR380" t="s">
        <v>98</v>
      </c>
      <c r="BS380" t="s">
        <v>5415</v>
      </c>
      <c r="BT380" t="str">
        <f>HYPERLINK("https%3A%2F%2Fwww.webofscience.com%2Fwos%2Fwoscc%2Ffull-record%2FWOS:000077463500014","View Full Record in Web of Science")</f>
        <v>View Full Record in Web of Science</v>
      </c>
    </row>
    <row r="381" spans="1:72" x14ac:dyDescent="0.15">
      <c r="A381" t="s">
        <v>72</v>
      </c>
      <c r="B381" t="s">
        <v>5416</v>
      </c>
      <c r="C381" t="s">
        <v>74</v>
      </c>
      <c r="D381" t="s">
        <v>74</v>
      </c>
      <c r="E381" t="s">
        <v>74</v>
      </c>
      <c r="F381" t="s">
        <v>5416</v>
      </c>
      <c r="G381" t="s">
        <v>74</v>
      </c>
      <c r="H381" t="s">
        <v>74</v>
      </c>
      <c r="I381" t="s">
        <v>5417</v>
      </c>
      <c r="J381" t="s">
        <v>1613</v>
      </c>
      <c r="K381" t="s">
        <v>74</v>
      </c>
      <c r="L381" t="s">
        <v>74</v>
      </c>
      <c r="M381" t="s">
        <v>77</v>
      </c>
      <c r="N381" t="s">
        <v>123</v>
      </c>
      <c r="O381" t="s">
        <v>5309</v>
      </c>
      <c r="P381" t="s">
        <v>5310</v>
      </c>
      <c r="Q381" t="s">
        <v>3084</v>
      </c>
      <c r="R381" t="s">
        <v>74</v>
      </c>
      <c r="S381" t="s">
        <v>74</v>
      </c>
      <c r="T381" t="s">
        <v>5418</v>
      </c>
      <c r="U381" t="s">
        <v>5419</v>
      </c>
      <c r="V381" t="s">
        <v>5420</v>
      </c>
      <c r="W381" t="s">
        <v>5421</v>
      </c>
      <c r="X381" t="s">
        <v>5422</v>
      </c>
      <c r="Y381" t="s">
        <v>5423</v>
      </c>
      <c r="Z381" t="s">
        <v>863</v>
      </c>
      <c r="AA381" t="s">
        <v>5424</v>
      </c>
      <c r="AB381" t="s">
        <v>5425</v>
      </c>
      <c r="AC381" t="s">
        <v>74</v>
      </c>
      <c r="AD381" t="s">
        <v>74</v>
      </c>
      <c r="AE381" t="s">
        <v>74</v>
      </c>
      <c r="AF381" t="s">
        <v>74</v>
      </c>
      <c r="AG381">
        <v>75</v>
      </c>
      <c r="AH381">
        <v>13</v>
      </c>
      <c r="AI381">
        <v>14</v>
      </c>
      <c r="AJ381">
        <v>0</v>
      </c>
      <c r="AK381">
        <v>9</v>
      </c>
      <c r="AL381" t="s">
        <v>1037</v>
      </c>
      <c r="AM381" t="s">
        <v>1038</v>
      </c>
      <c r="AN381" t="s">
        <v>1039</v>
      </c>
      <c r="AO381" t="s">
        <v>1623</v>
      </c>
      <c r="AP381" t="s">
        <v>74</v>
      </c>
      <c r="AQ381" t="s">
        <v>74</v>
      </c>
      <c r="AR381" t="s">
        <v>1625</v>
      </c>
      <c r="AS381" t="s">
        <v>1626</v>
      </c>
      <c r="AT381" t="s">
        <v>5013</v>
      </c>
      <c r="AU381">
        <v>1998</v>
      </c>
      <c r="AV381">
        <v>17</v>
      </c>
      <c r="AW381" t="s">
        <v>5317</v>
      </c>
      <c r="AX381" t="s">
        <v>74</v>
      </c>
      <c r="AY381" t="s">
        <v>74</v>
      </c>
      <c r="AZ381" t="s">
        <v>74</v>
      </c>
      <c r="BA381" t="s">
        <v>74</v>
      </c>
      <c r="BB381">
        <v>207</v>
      </c>
      <c r="BC381">
        <v>227</v>
      </c>
      <c r="BD381" t="s">
        <v>74</v>
      </c>
      <c r="BE381" t="s">
        <v>5426</v>
      </c>
      <c r="BF381" t="str">
        <f>HYPERLINK("http://dx.doi.org/10.1016/S0924-7963(98)00039-6","http://dx.doi.org/10.1016/S0924-7963(98)00039-6")</f>
        <v>http://dx.doi.org/10.1016/S0924-7963(98)00039-6</v>
      </c>
      <c r="BG381" t="s">
        <v>74</v>
      </c>
      <c r="BH381" t="s">
        <v>74</v>
      </c>
      <c r="BI381">
        <v>21</v>
      </c>
      <c r="BJ381" t="s">
        <v>1628</v>
      </c>
      <c r="BK381" t="s">
        <v>235</v>
      </c>
      <c r="BL381" t="s">
        <v>1629</v>
      </c>
      <c r="BM381" t="s">
        <v>5319</v>
      </c>
      <c r="BN381" t="s">
        <v>74</v>
      </c>
      <c r="BO381" t="s">
        <v>74</v>
      </c>
      <c r="BP381" t="s">
        <v>74</v>
      </c>
      <c r="BQ381" t="s">
        <v>74</v>
      </c>
      <c r="BR381" t="s">
        <v>98</v>
      </c>
      <c r="BS381" t="s">
        <v>5427</v>
      </c>
      <c r="BT381" t="str">
        <f>HYPERLINK("https%3A%2F%2Fwww.webofscience.com%2Fwos%2Fwoscc%2Ffull-record%2FWOS:000077463500015","View Full Record in Web of Science")</f>
        <v>View Full Record in Web of Science</v>
      </c>
    </row>
    <row r="382" spans="1:72" x14ac:dyDescent="0.15">
      <c r="A382" t="s">
        <v>72</v>
      </c>
      <c r="B382" t="s">
        <v>5428</v>
      </c>
      <c r="C382" t="s">
        <v>74</v>
      </c>
      <c r="D382" t="s">
        <v>74</v>
      </c>
      <c r="E382" t="s">
        <v>74</v>
      </c>
      <c r="F382" t="s">
        <v>5428</v>
      </c>
      <c r="G382" t="s">
        <v>74</v>
      </c>
      <c r="H382" t="s">
        <v>74</v>
      </c>
      <c r="I382" t="s">
        <v>5429</v>
      </c>
      <c r="J382" t="s">
        <v>1613</v>
      </c>
      <c r="K382" t="s">
        <v>74</v>
      </c>
      <c r="L382" t="s">
        <v>74</v>
      </c>
      <c r="M382" t="s">
        <v>77</v>
      </c>
      <c r="N382" t="s">
        <v>123</v>
      </c>
      <c r="O382" t="s">
        <v>5309</v>
      </c>
      <c r="P382" t="s">
        <v>5310</v>
      </c>
      <c r="Q382" t="s">
        <v>3084</v>
      </c>
      <c r="R382" t="s">
        <v>74</v>
      </c>
      <c r="S382" t="s">
        <v>74</v>
      </c>
      <c r="T382" t="s">
        <v>5430</v>
      </c>
      <c r="U382" t="s">
        <v>5431</v>
      </c>
      <c r="V382" t="s">
        <v>5432</v>
      </c>
      <c r="W382" t="s">
        <v>5433</v>
      </c>
      <c r="X382" t="s">
        <v>5434</v>
      </c>
      <c r="Y382" t="s">
        <v>5435</v>
      </c>
      <c r="Z382" t="s">
        <v>74</v>
      </c>
      <c r="AA382" t="s">
        <v>74</v>
      </c>
      <c r="AB382" t="s">
        <v>74</v>
      </c>
      <c r="AC382" t="s">
        <v>74</v>
      </c>
      <c r="AD382" t="s">
        <v>74</v>
      </c>
      <c r="AE382" t="s">
        <v>74</v>
      </c>
      <c r="AF382" t="s">
        <v>74</v>
      </c>
      <c r="AG382">
        <v>22</v>
      </c>
      <c r="AH382">
        <v>49</v>
      </c>
      <c r="AI382">
        <v>59</v>
      </c>
      <c r="AJ382">
        <v>0</v>
      </c>
      <c r="AK382">
        <v>9</v>
      </c>
      <c r="AL382" t="s">
        <v>1037</v>
      </c>
      <c r="AM382" t="s">
        <v>1038</v>
      </c>
      <c r="AN382" t="s">
        <v>1039</v>
      </c>
      <c r="AO382" t="s">
        <v>1623</v>
      </c>
      <c r="AP382" t="s">
        <v>74</v>
      </c>
      <c r="AQ382" t="s">
        <v>74</v>
      </c>
      <c r="AR382" t="s">
        <v>1625</v>
      </c>
      <c r="AS382" t="s">
        <v>1626</v>
      </c>
      <c r="AT382" t="s">
        <v>5013</v>
      </c>
      <c r="AU382">
        <v>1998</v>
      </c>
      <c r="AV382">
        <v>17</v>
      </c>
      <c r="AW382" t="s">
        <v>5317</v>
      </c>
      <c r="AX382" t="s">
        <v>74</v>
      </c>
      <c r="AY382" t="s">
        <v>74</v>
      </c>
      <c r="AZ382" t="s">
        <v>74</v>
      </c>
      <c r="BA382" t="s">
        <v>74</v>
      </c>
      <c r="BB382">
        <v>229</v>
      </c>
      <c r="BC382">
        <v>243</v>
      </c>
      <c r="BD382" t="s">
        <v>74</v>
      </c>
      <c r="BE382" t="s">
        <v>5436</v>
      </c>
      <c r="BF382" t="str">
        <f>HYPERLINK("http://dx.doi.org/10.1016/S0924-7963(98)00040-2","http://dx.doi.org/10.1016/S0924-7963(98)00040-2")</f>
        <v>http://dx.doi.org/10.1016/S0924-7963(98)00040-2</v>
      </c>
      <c r="BG382" t="s">
        <v>74</v>
      </c>
      <c r="BH382" t="s">
        <v>74</v>
      </c>
      <c r="BI382">
        <v>15</v>
      </c>
      <c r="BJ382" t="s">
        <v>1628</v>
      </c>
      <c r="BK382" t="s">
        <v>235</v>
      </c>
      <c r="BL382" t="s">
        <v>1629</v>
      </c>
      <c r="BM382" t="s">
        <v>5319</v>
      </c>
      <c r="BN382" t="s">
        <v>74</v>
      </c>
      <c r="BO382" t="s">
        <v>483</v>
      </c>
      <c r="BP382" t="s">
        <v>74</v>
      </c>
      <c r="BQ382" t="s">
        <v>74</v>
      </c>
      <c r="BR382" t="s">
        <v>98</v>
      </c>
      <c r="BS382" t="s">
        <v>5437</v>
      </c>
      <c r="BT382" t="str">
        <f>HYPERLINK("https%3A%2F%2Fwww.webofscience.com%2Fwos%2Fwoscc%2Ffull-record%2FWOS:000077463500016","View Full Record in Web of Science")</f>
        <v>View Full Record in Web of Science</v>
      </c>
    </row>
    <row r="383" spans="1:72" x14ac:dyDescent="0.15">
      <c r="A383" t="s">
        <v>72</v>
      </c>
      <c r="B383" t="s">
        <v>5438</v>
      </c>
      <c r="C383" t="s">
        <v>74</v>
      </c>
      <c r="D383" t="s">
        <v>74</v>
      </c>
      <c r="E383" t="s">
        <v>74</v>
      </c>
      <c r="F383" t="s">
        <v>5438</v>
      </c>
      <c r="G383" t="s">
        <v>74</v>
      </c>
      <c r="H383" t="s">
        <v>74</v>
      </c>
      <c r="I383" t="s">
        <v>5439</v>
      </c>
      <c r="J383" t="s">
        <v>1613</v>
      </c>
      <c r="K383" t="s">
        <v>74</v>
      </c>
      <c r="L383" t="s">
        <v>74</v>
      </c>
      <c r="M383" t="s">
        <v>77</v>
      </c>
      <c r="N383" t="s">
        <v>123</v>
      </c>
      <c r="O383" t="s">
        <v>5309</v>
      </c>
      <c r="P383" t="s">
        <v>5310</v>
      </c>
      <c r="Q383" t="s">
        <v>3084</v>
      </c>
      <c r="R383" t="s">
        <v>74</v>
      </c>
      <c r="S383" t="s">
        <v>74</v>
      </c>
      <c r="T383" t="s">
        <v>5440</v>
      </c>
      <c r="U383" t="s">
        <v>5441</v>
      </c>
      <c r="V383" t="s">
        <v>5442</v>
      </c>
      <c r="W383" t="s">
        <v>5443</v>
      </c>
      <c r="X383" t="s">
        <v>5434</v>
      </c>
      <c r="Y383" t="s">
        <v>5444</v>
      </c>
      <c r="Z383" t="s">
        <v>5445</v>
      </c>
      <c r="AA383" t="s">
        <v>74</v>
      </c>
      <c r="AB383" t="s">
        <v>5446</v>
      </c>
      <c r="AC383" t="s">
        <v>74</v>
      </c>
      <c r="AD383" t="s">
        <v>74</v>
      </c>
      <c r="AE383" t="s">
        <v>74</v>
      </c>
      <c r="AF383" t="s">
        <v>74</v>
      </c>
      <c r="AG383">
        <v>77</v>
      </c>
      <c r="AH383">
        <v>30</v>
      </c>
      <c r="AI383">
        <v>38</v>
      </c>
      <c r="AJ383">
        <v>1</v>
      </c>
      <c r="AK383">
        <v>16</v>
      </c>
      <c r="AL383" t="s">
        <v>3722</v>
      </c>
      <c r="AM383" t="s">
        <v>1038</v>
      </c>
      <c r="AN383" t="s">
        <v>3723</v>
      </c>
      <c r="AO383" t="s">
        <v>1623</v>
      </c>
      <c r="AP383" t="s">
        <v>1624</v>
      </c>
      <c r="AQ383" t="s">
        <v>74</v>
      </c>
      <c r="AR383" t="s">
        <v>1625</v>
      </c>
      <c r="AS383" t="s">
        <v>1626</v>
      </c>
      <c r="AT383" t="s">
        <v>5013</v>
      </c>
      <c r="AU383">
        <v>1998</v>
      </c>
      <c r="AV383">
        <v>17</v>
      </c>
      <c r="AW383" t="s">
        <v>5317</v>
      </c>
      <c r="AX383" t="s">
        <v>74</v>
      </c>
      <c r="AY383" t="s">
        <v>74</v>
      </c>
      <c r="AZ383" t="s">
        <v>74</v>
      </c>
      <c r="BA383" t="s">
        <v>74</v>
      </c>
      <c r="BB383">
        <v>245</v>
      </c>
      <c r="BC383">
        <v>259</v>
      </c>
      <c r="BD383" t="s">
        <v>74</v>
      </c>
      <c r="BE383" t="s">
        <v>5447</v>
      </c>
      <c r="BF383" t="str">
        <f>HYPERLINK("http://dx.doi.org/10.1016/S0924-7963(98)00041-4","http://dx.doi.org/10.1016/S0924-7963(98)00041-4")</f>
        <v>http://dx.doi.org/10.1016/S0924-7963(98)00041-4</v>
      </c>
      <c r="BG383" t="s">
        <v>74</v>
      </c>
      <c r="BH383" t="s">
        <v>74</v>
      </c>
      <c r="BI383">
        <v>15</v>
      </c>
      <c r="BJ383" t="s">
        <v>1628</v>
      </c>
      <c r="BK383" t="s">
        <v>144</v>
      </c>
      <c r="BL383" t="s">
        <v>1629</v>
      </c>
      <c r="BM383" t="s">
        <v>5319</v>
      </c>
      <c r="BN383" t="s">
        <v>74</v>
      </c>
      <c r="BO383" t="s">
        <v>74</v>
      </c>
      <c r="BP383" t="s">
        <v>74</v>
      </c>
      <c r="BQ383" t="s">
        <v>74</v>
      </c>
      <c r="BR383" t="s">
        <v>98</v>
      </c>
      <c r="BS383" t="s">
        <v>5448</v>
      </c>
      <c r="BT383" t="str">
        <f>HYPERLINK("https%3A%2F%2Fwww.webofscience.com%2Fwos%2Fwoscc%2Ffull-record%2FWOS:000077463500017","View Full Record in Web of Science")</f>
        <v>View Full Record in Web of Science</v>
      </c>
    </row>
    <row r="384" spans="1:72" x14ac:dyDescent="0.15">
      <c r="A384" t="s">
        <v>72</v>
      </c>
      <c r="B384" t="s">
        <v>5449</v>
      </c>
      <c r="C384" t="s">
        <v>74</v>
      </c>
      <c r="D384" t="s">
        <v>74</v>
      </c>
      <c r="E384" t="s">
        <v>74</v>
      </c>
      <c r="F384" t="s">
        <v>5449</v>
      </c>
      <c r="G384" t="s">
        <v>74</v>
      </c>
      <c r="H384" t="s">
        <v>74</v>
      </c>
      <c r="I384" t="s">
        <v>5450</v>
      </c>
      <c r="J384" t="s">
        <v>1613</v>
      </c>
      <c r="K384" t="s">
        <v>74</v>
      </c>
      <c r="L384" t="s">
        <v>74</v>
      </c>
      <c r="M384" t="s">
        <v>77</v>
      </c>
      <c r="N384" t="s">
        <v>123</v>
      </c>
      <c r="O384" t="s">
        <v>5309</v>
      </c>
      <c r="P384" t="s">
        <v>5310</v>
      </c>
      <c r="Q384" t="s">
        <v>3084</v>
      </c>
      <c r="R384" t="s">
        <v>74</v>
      </c>
      <c r="S384" t="s">
        <v>74</v>
      </c>
      <c r="T384" t="s">
        <v>5451</v>
      </c>
      <c r="U384" t="s">
        <v>5452</v>
      </c>
      <c r="V384" t="s">
        <v>5453</v>
      </c>
      <c r="W384" t="s">
        <v>5454</v>
      </c>
      <c r="X384" t="s">
        <v>5455</v>
      </c>
      <c r="Y384" t="s">
        <v>5456</v>
      </c>
      <c r="Z384" t="s">
        <v>74</v>
      </c>
      <c r="AA384" t="s">
        <v>74</v>
      </c>
      <c r="AB384" t="s">
        <v>74</v>
      </c>
      <c r="AC384" t="s">
        <v>74</v>
      </c>
      <c r="AD384" t="s">
        <v>74</v>
      </c>
      <c r="AE384" t="s">
        <v>74</v>
      </c>
      <c r="AF384" t="s">
        <v>74</v>
      </c>
      <c r="AG384">
        <v>26</v>
      </c>
      <c r="AH384">
        <v>48</v>
      </c>
      <c r="AI384">
        <v>53</v>
      </c>
      <c r="AJ384">
        <v>0</v>
      </c>
      <c r="AK384">
        <v>15</v>
      </c>
      <c r="AL384" t="s">
        <v>1037</v>
      </c>
      <c r="AM384" t="s">
        <v>1038</v>
      </c>
      <c r="AN384" t="s">
        <v>1039</v>
      </c>
      <c r="AO384" t="s">
        <v>1623</v>
      </c>
      <c r="AP384" t="s">
        <v>74</v>
      </c>
      <c r="AQ384" t="s">
        <v>74</v>
      </c>
      <c r="AR384" t="s">
        <v>1625</v>
      </c>
      <c r="AS384" t="s">
        <v>1626</v>
      </c>
      <c r="AT384" t="s">
        <v>5013</v>
      </c>
      <c r="AU384">
        <v>1998</v>
      </c>
      <c r="AV384">
        <v>17</v>
      </c>
      <c r="AW384" t="s">
        <v>5317</v>
      </c>
      <c r="AX384" t="s">
        <v>74</v>
      </c>
      <c r="AY384" t="s">
        <v>74</v>
      </c>
      <c r="AZ384" t="s">
        <v>74</v>
      </c>
      <c r="BA384" t="s">
        <v>74</v>
      </c>
      <c r="BB384">
        <v>261</v>
      </c>
      <c r="BC384">
        <v>273</v>
      </c>
      <c r="BD384" t="s">
        <v>74</v>
      </c>
      <c r="BE384" t="s">
        <v>5457</v>
      </c>
      <c r="BF384" t="str">
        <f>HYPERLINK("http://dx.doi.org/10.1016/S0924-7963(98)00042-6","http://dx.doi.org/10.1016/S0924-7963(98)00042-6")</f>
        <v>http://dx.doi.org/10.1016/S0924-7963(98)00042-6</v>
      </c>
      <c r="BG384" t="s">
        <v>74</v>
      </c>
      <c r="BH384" t="s">
        <v>74</v>
      </c>
      <c r="BI384">
        <v>13</v>
      </c>
      <c r="BJ384" t="s">
        <v>1628</v>
      </c>
      <c r="BK384" t="s">
        <v>235</v>
      </c>
      <c r="BL384" t="s">
        <v>1629</v>
      </c>
      <c r="BM384" t="s">
        <v>5319</v>
      </c>
      <c r="BN384" t="s">
        <v>74</v>
      </c>
      <c r="BO384" t="s">
        <v>74</v>
      </c>
      <c r="BP384" t="s">
        <v>74</v>
      </c>
      <c r="BQ384" t="s">
        <v>74</v>
      </c>
      <c r="BR384" t="s">
        <v>98</v>
      </c>
      <c r="BS384" t="s">
        <v>5458</v>
      </c>
      <c r="BT384" t="str">
        <f>HYPERLINK("https%3A%2F%2Fwww.webofscience.com%2Fwos%2Fwoscc%2Ffull-record%2FWOS:000077463500018","View Full Record in Web of Science")</f>
        <v>View Full Record in Web of Science</v>
      </c>
    </row>
    <row r="385" spans="1:72" x14ac:dyDescent="0.15">
      <c r="A385" t="s">
        <v>72</v>
      </c>
      <c r="B385" t="s">
        <v>5459</v>
      </c>
      <c r="C385" t="s">
        <v>74</v>
      </c>
      <c r="D385" t="s">
        <v>74</v>
      </c>
      <c r="E385" t="s">
        <v>74</v>
      </c>
      <c r="F385" t="s">
        <v>5459</v>
      </c>
      <c r="G385" t="s">
        <v>74</v>
      </c>
      <c r="H385" t="s">
        <v>74</v>
      </c>
      <c r="I385" t="s">
        <v>5460</v>
      </c>
      <c r="J385" t="s">
        <v>1613</v>
      </c>
      <c r="K385" t="s">
        <v>74</v>
      </c>
      <c r="L385" t="s">
        <v>74</v>
      </c>
      <c r="M385" t="s">
        <v>77</v>
      </c>
      <c r="N385" t="s">
        <v>123</v>
      </c>
      <c r="O385" t="s">
        <v>5309</v>
      </c>
      <c r="P385" t="s">
        <v>5310</v>
      </c>
      <c r="Q385" t="s">
        <v>3084</v>
      </c>
      <c r="R385" t="s">
        <v>74</v>
      </c>
      <c r="S385" t="s">
        <v>74</v>
      </c>
      <c r="T385" t="s">
        <v>5461</v>
      </c>
      <c r="U385" t="s">
        <v>5462</v>
      </c>
      <c r="V385" t="s">
        <v>5463</v>
      </c>
      <c r="W385" t="s">
        <v>944</v>
      </c>
      <c r="X385" t="s">
        <v>628</v>
      </c>
      <c r="Y385" t="s">
        <v>5464</v>
      </c>
      <c r="Z385" t="s">
        <v>74</v>
      </c>
      <c r="AA385" t="s">
        <v>864</v>
      </c>
      <c r="AB385" t="s">
        <v>74</v>
      </c>
      <c r="AC385" t="s">
        <v>74</v>
      </c>
      <c r="AD385" t="s">
        <v>74</v>
      </c>
      <c r="AE385" t="s">
        <v>74</v>
      </c>
      <c r="AF385" t="s">
        <v>74</v>
      </c>
      <c r="AG385">
        <v>58</v>
      </c>
      <c r="AH385">
        <v>42</v>
      </c>
      <c r="AI385">
        <v>47</v>
      </c>
      <c r="AJ385">
        <v>0</v>
      </c>
      <c r="AK385">
        <v>13</v>
      </c>
      <c r="AL385" t="s">
        <v>1037</v>
      </c>
      <c r="AM385" t="s">
        <v>1038</v>
      </c>
      <c r="AN385" t="s">
        <v>1039</v>
      </c>
      <c r="AO385" t="s">
        <v>1623</v>
      </c>
      <c r="AP385" t="s">
        <v>74</v>
      </c>
      <c r="AQ385" t="s">
        <v>74</v>
      </c>
      <c r="AR385" t="s">
        <v>1625</v>
      </c>
      <c r="AS385" t="s">
        <v>1626</v>
      </c>
      <c r="AT385" t="s">
        <v>5013</v>
      </c>
      <c r="AU385">
        <v>1998</v>
      </c>
      <c r="AV385">
        <v>17</v>
      </c>
      <c r="AW385" t="s">
        <v>5317</v>
      </c>
      <c r="AX385" t="s">
        <v>74</v>
      </c>
      <c r="AY385" t="s">
        <v>74</v>
      </c>
      <c r="AZ385" t="s">
        <v>74</v>
      </c>
      <c r="BA385" t="s">
        <v>74</v>
      </c>
      <c r="BB385">
        <v>275</v>
      </c>
      <c r="BC385">
        <v>288</v>
      </c>
      <c r="BD385" t="s">
        <v>74</v>
      </c>
      <c r="BE385" t="s">
        <v>5465</v>
      </c>
      <c r="BF385" t="str">
        <f>HYPERLINK("http://dx.doi.org/10.1016/S0924-7963(98)00043-8","http://dx.doi.org/10.1016/S0924-7963(98)00043-8")</f>
        <v>http://dx.doi.org/10.1016/S0924-7963(98)00043-8</v>
      </c>
      <c r="BG385" t="s">
        <v>74</v>
      </c>
      <c r="BH385" t="s">
        <v>74</v>
      </c>
      <c r="BI385">
        <v>14</v>
      </c>
      <c r="BJ385" t="s">
        <v>1628</v>
      </c>
      <c r="BK385" t="s">
        <v>235</v>
      </c>
      <c r="BL385" t="s">
        <v>1629</v>
      </c>
      <c r="BM385" t="s">
        <v>5319</v>
      </c>
      <c r="BN385" t="s">
        <v>74</v>
      </c>
      <c r="BO385" t="s">
        <v>74</v>
      </c>
      <c r="BP385" t="s">
        <v>74</v>
      </c>
      <c r="BQ385" t="s">
        <v>74</v>
      </c>
      <c r="BR385" t="s">
        <v>98</v>
      </c>
      <c r="BS385" t="s">
        <v>5466</v>
      </c>
      <c r="BT385" t="str">
        <f>HYPERLINK("https%3A%2F%2Fwww.webofscience.com%2Fwos%2Fwoscc%2Ffull-record%2FWOS:000077463500019","View Full Record in Web of Science")</f>
        <v>View Full Record in Web of Science</v>
      </c>
    </row>
    <row r="386" spans="1:72" x14ac:dyDescent="0.15">
      <c r="A386" t="s">
        <v>72</v>
      </c>
      <c r="B386" t="s">
        <v>5467</v>
      </c>
      <c r="C386" t="s">
        <v>74</v>
      </c>
      <c r="D386" t="s">
        <v>74</v>
      </c>
      <c r="E386" t="s">
        <v>74</v>
      </c>
      <c r="F386" t="s">
        <v>5467</v>
      </c>
      <c r="G386" t="s">
        <v>74</v>
      </c>
      <c r="H386" t="s">
        <v>74</v>
      </c>
      <c r="I386" t="s">
        <v>5468</v>
      </c>
      <c r="J386" t="s">
        <v>1613</v>
      </c>
      <c r="K386" t="s">
        <v>74</v>
      </c>
      <c r="L386" t="s">
        <v>74</v>
      </c>
      <c r="M386" t="s">
        <v>77</v>
      </c>
      <c r="N386" t="s">
        <v>123</v>
      </c>
      <c r="O386" t="s">
        <v>5309</v>
      </c>
      <c r="P386" t="s">
        <v>5310</v>
      </c>
      <c r="Q386" t="s">
        <v>3084</v>
      </c>
      <c r="R386" t="s">
        <v>74</v>
      </c>
      <c r="S386" t="s">
        <v>74</v>
      </c>
      <c r="T386" t="s">
        <v>5469</v>
      </c>
      <c r="U386" t="s">
        <v>5470</v>
      </c>
      <c r="V386" t="s">
        <v>5471</v>
      </c>
      <c r="W386" t="s">
        <v>5472</v>
      </c>
      <c r="X386" t="s">
        <v>5473</v>
      </c>
      <c r="Y386" t="s">
        <v>5474</v>
      </c>
      <c r="Z386" t="s">
        <v>5475</v>
      </c>
      <c r="AA386" t="s">
        <v>74</v>
      </c>
      <c r="AB386" t="s">
        <v>74</v>
      </c>
      <c r="AC386" t="s">
        <v>74</v>
      </c>
      <c r="AD386" t="s">
        <v>74</v>
      </c>
      <c r="AE386" t="s">
        <v>74</v>
      </c>
      <c r="AF386" t="s">
        <v>74</v>
      </c>
      <c r="AG386">
        <v>120</v>
      </c>
      <c r="AH386">
        <v>74</v>
      </c>
      <c r="AI386">
        <v>81</v>
      </c>
      <c r="AJ386">
        <v>2</v>
      </c>
      <c r="AK386">
        <v>35</v>
      </c>
      <c r="AL386" t="s">
        <v>1037</v>
      </c>
      <c r="AM386" t="s">
        <v>1038</v>
      </c>
      <c r="AN386" t="s">
        <v>1039</v>
      </c>
      <c r="AO386" t="s">
        <v>1623</v>
      </c>
      <c r="AP386" t="s">
        <v>74</v>
      </c>
      <c r="AQ386" t="s">
        <v>74</v>
      </c>
      <c r="AR386" t="s">
        <v>1625</v>
      </c>
      <c r="AS386" t="s">
        <v>1626</v>
      </c>
      <c r="AT386" t="s">
        <v>5013</v>
      </c>
      <c r="AU386">
        <v>1998</v>
      </c>
      <c r="AV386">
        <v>17</v>
      </c>
      <c r="AW386" t="s">
        <v>5317</v>
      </c>
      <c r="AX386" t="s">
        <v>74</v>
      </c>
      <c r="AY386" t="s">
        <v>74</v>
      </c>
      <c r="AZ386" t="s">
        <v>74</v>
      </c>
      <c r="BA386" t="s">
        <v>74</v>
      </c>
      <c r="BB386">
        <v>325</v>
      </c>
      <c r="BC386">
        <v>345</v>
      </c>
      <c r="BD386" t="s">
        <v>74</v>
      </c>
      <c r="BE386" t="s">
        <v>5476</v>
      </c>
      <c r="BF386" t="str">
        <f>HYPERLINK("http://dx.doi.org/10.1016/S0924-7963(98)00047-5","http://dx.doi.org/10.1016/S0924-7963(98)00047-5")</f>
        <v>http://dx.doi.org/10.1016/S0924-7963(98)00047-5</v>
      </c>
      <c r="BG386" t="s">
        <v>74</v>
      </c>
      <c r="BH386" t="s">
        <v>74</v>
      </c>
      <c r="BI386">
        <v>21</v>
      </c>
      <c r="BJ386" t="s">
        <v>1628</v>
      </c>
      <c r="BK386" t="s">
        <v>144</v>
      </c>
      <c r="BL386" t="s">
        <v>1629</v>
      </c>
      <c r="BM386" t="s">
        <v>5319</v>
      </c>
      <c r="BN386" t="s">
        <v>74</v>
      </c>
      <c r="BO386" t="s">
        <v>74</v>
      </c>
      <c r="BP386" t="s">
        <v>74</v>
      </c>
      <c r="BQ386" t="s">
        <v>74</v>
      </c>
      <c r="BR386" t="s">
        <v>98</v>
      </c>
      <c r="BS386" t="s">
        <v>5477</v>
      </c>
      <c r="BT386" t="str">
        <f>HYPERLINK("https%3A%2F%2Fwww.webofscience.com%2Fwos%2Fwoscc%2Ffull-record%2FWOS:000077463500023","View Full Record in Web of Science")</f>
        <v>View Full Record in Web of Science</v>
      </c>
    </row>
    <row r="387" spans="1:72" x14ac:dyDescent="0.15">
      <c r="A387" t="s">
        <v>72</v>
      </c>
      <c r="B387" t="s">
        <v>5478</v>
      </c>
      <c r="C387" t="s">
        <v>74</v>
      </c>
      <c r="D387" t="s">
        <v>74</v>
      </c>
      <c r="E387" t="s">
        <v>74</v>
      </c>
      <c r="F387" t="s">
        <v>5478</v>
      </c>
      <c r="G387" t="s">
        <v>74</v>
      </c>
      <c r="H387" t="s">
        <v>74</v>
      </c>
      <c r="I387" t="s">
        <v>5479</v>
      </c>
      <c r="J387" t="s">
        <v>1613</v>
      </c>
      <c r="K387" t="s">
        <v>74</v>
      </c>
      <c r="L387" t="s">
        <v>74</v>
      </c>
      <c r="M387" t="s">
        <v>77</v>
      </c>
      <c r="N387" t="s">
        <v>123</v>
      </c>
      <c r="O387" t="s">
        <v>5309</v>
      </c>
      <c r="P387" t="s">
        <v>5310</v>
      </c>
      <c r="Q387" t="s">
        <v>3084</v>
      </c>
      <c r="R387" t="s">
        <v>74</v>
      </c>
      <c r="S387" t="s">
        <v>74</v>
      </c>
      <c r="T387" t="s">
        <v>5480</v>
      </c>
      <c r="U387" t="s">
        <v>5481</v>
      </c>
      <c r="V387" t="s">
        <v>5482</v>
      </c>
      <c r="W387" t="s">
        <v>5483</v>
      </c>
      <c r="X387" t="s">
        <v>5484</v>
      </c>
      <c r="Y387" t="s">
        <v>5485</v>
      </c>
      <c r="Z387" t="s">
        <v>74</v>
      </c>
      <c r="AA387" t="s">
        <v>5486</v>
      </c>
      <c r="AB387" t="s">
        <v>5487</v>
      </c>
      <c r="AC387" t="s">
        <v>74</v>
      </c>
      <c r="AD387" t="s">
        <v>74</v>
      </c>
      <c r="AE387" t="s">
        <v>74</v>
      </c>
      <c r="AF387" t="s">
        <v>74</v>
      </c>
      <c r="AG387">
        <v>35</v>
      </c>
      <c r="AH387">
        <v>37</v>
      </c>
      <c r="AI387">
        <v>41</v>
      </c>
      <c r="AJ387">
        <v>0</v>
      </c>
      <c r="AK387">
        <v>14</v>
      </c>
      <c r="AL387" t="s">
        <v>1037</v>
      </c>
      <c r="AM387" t="s">
        <v>1038</v>
      </c>
      <c r="AN387" t="s">
        <v>1039</v>
      </c>
      <c r="AO387" t="s">
        <v>1623</v>
      </c>
      <c r="AP387" t="s">
        <v>74</v>
      </c>
      <c r="AQ387" t="s">
        <v>74</v>
      </c>
      <c r="AR387" t="s">
        <v>1625</v>
      </c>
      <c r="AS387" t="s">
        <v>1626</v>
      </c>
      <c r="AT387" t="s">
        <v>5013</v>
      </c>
      <c r="AU387">
        <v>1998</v>
      </c>
      <c r="AV387">
        <v>17</v>
      </c>
      <c r="AW387" t="s">
        <v>5317</v>
      </c>
      <c r="AX387" t="s">
        <v>74</v>
      </c>
      <c r="AY387" t="s">
        <v>74</v>
      </c>
      <c r="AZ387" t="s">
        <v>74</v>
      </c>
      <c r="BA387" t="s">
        <v>74</v>
      </c>
      <c r="BB387">
        <v>347</v>
      </c>
      <c r="BC387">
        <v>359</v>
      </c>
      <c r="BD387" t="s">
        <v>74</v>
      </c>
      <c r="BE387" t="s">
        <v>5488</v>
      </c>
      <c r="BF387" t="str">
        <f>HYPERLINK("http://dx.doi.org/10.1016/S0924-7963(98)00048-7","http://dx.doi.org/10.1016/S0924-7963(98)00048-7")</f>
        <v>http://dx.doi.org/10.1016/S0924-7963(98)00048-7</v>
      </c>
      <c r="BG387" t="s">
        <v>74</v>
      </c>
      <c r="BH387" t="s">
        <v>74</v>
      </c>
      <c r="BI387">
        <v>13</v>
      </c>
      <c r="BJ387" t="s">
        <v>1628</v>
      </c>
      <c r="BK387" t="s">
        <v>235</v>
      </c>
      <c r="BL387" t="s">
        <v>1629</v>
      </c>
      <c r="BM387" t="s">
        <v>5319</v>
      </c>
      <c r="BN387" t="s">
        <v>74</v>
      </c>
      <c r="BO387" t="s">
        <v>74</v>
      </c>
      <c r="BP387" t="s">
        <v>74</v>
      </c>
      <c r="BQ387" t="s">
        <v>74</v>
      </c>
      <c r="BR387" t="s">
        <v>98</v>
      </c>
      <c r="BS387" t="s">
        <v>5489</v>
      </c>
      <c r="BT387" t="str">
        <f>HYPERLINK("https%3A%2F%2Fwww.webofscience.com%2Fwos%2Fwoscc%2Ffull-record%2FWOS:000077463500024","View Full Record in Web of Science")</f>
        <v>View Full Record in Web of Science</v>
      </c>
    </row>
    <row r="388" spans="1:72" x14ac:dyDescent="0.15">
      <c r="A388" t="s">
        <v>72</v>
      </c>
      <c r="B388" t="s">
        <v>5490</v>
      </c>
      <c r="C388" t="s">
        <v>74</v>
      </c>
      <c r="D388" t="s">
        <v>74</v>
      </c>
      <c r="E388" t="s">
        <v>74</v>
      </c>
      <c r="F388" t="s">
        <v>5490</v>
      </c>
      <c r="G388" t="s">
        <v>74</v>
      </c>
      <c r="H388" t="s">
        <v>74</v>
      </c>
      <c r="I388" t="s">
        <v>5491</v>
      </c>
      <c r="J388" t="s">
        <v>1613</v>
      </c>
      <c r="K388" t="s">
        <v>74</v>
      </c>
      <c r="L388" t="s">
        <v>74</v>
      </c>
      <c r="M388" t="s">
        <v>77</v>
      </c>
      <c r="N388" t="s">
        <v>123</v>
      </c>
      <c r="O388" t="s">
        <v>5309</v>
      </c>
      <c r="P388" t="s">
        <v>5310</v>
      </c>
      <c r="Q388" t="s">
        <v>3084</v>
      </c>
      <c r="R388" t="s">
        <v>74</v>
      </c>
      <c r="S388" t="s">
        <v>74</v>
      </c>
      <c r="T388" t="s">
        <v>5492</v>
      </c>
      <c r="U388" t="s">
        <v>5493</v>
      </c>
      <c r="V388" t="s">
        <v>5494</v>
      </c>
      <c r="W388" t="s">
        <v>5495</v>
      </c>
      <c r="X388" t="s">
        <v>5496</v>
      </c>
      <c r="Y388" t="s">
        <v>5497</v>
      </c>
      <c r="Z388" t="s">
        <v>74</v>
      </c>
      <c r="AA388" t="s">
        <v>74</v>
      </c>
      <c r="AB388" t="s">
        <v>74</v>
      </c>
      <c r="AC388" t="s">
        <v>74</v>
      </c>
      <c r="AD388" t="s">
        <v>74</v>
      </c>
      <c r="AE388" t="s">
        <v>74</v>
      </c>
      <c r="AF388" t="s">
        <v>74</v>
      </c>
      <c r="AG388">
        <v>61</v>
      </c>
      <c r="AH388">
        <v>81</v>
      </c>
      <c r="AI388">
        <v>93</v>
      </c>
      <c r="AJ388">
        <v>2</v>
      </c>
      <c r="AK388">
        <v>23</v>
      </c>
      <c r="AL388" t="s">
        <v>1037</v>
      </c>
      <c r="AM388" t="s">
        <v>1038</v>
      </c>
      <c r="AN388" t="s">
        <v>1039</v>
      </c>
      <c r="AO388" t="s">
        <v>1623</v>
      </c>
      <c r="AP388" t="s">
        <v>74</v>
      </c>
      <c r="AQ388" t="s">
        <v>74</v>
      </c>
      <c r="AR388" t="s">
        <v>1625</v>
      </c>
      <c r="AS388" t="s">
        <v>1626</v>
      </c>
      <c r="AT388" t="s">
        <v>5013</v>
      </c>
      <c r="AU388">
        <v>1998</v>
      </c>
      <c r="AV388">
        <v>17</v>
      </c>
      <c r="AW388" t="s">
        <v>5317</v>
      </c>
      <c r="AX388" t="s">
        <v>74</v>
      </c>
      <c r="AY388" t="s">
        <v>74</v>
      </c>
      <c r="AZ388" t="s">
        <v>74</v>
      </c>
      <c r="BA388" t="s">
        <v>74</v>
      </c>
      <c r="BB388">
        <v>361</v>
      </c>
      <c r="BC388">
        <v>374</v>
      </c>
      <c r="BD388" t="s">
        <v>74</v>
      </c>
      <c r="BE388" t="s">
        <v>5498</v>
      </c>
      <c r="BF388" t="str">
        <f>HYPERLINK("http://dx.doi.org/10.1016/S0924-7963(98)00049-9","http://dx.doi.org/10.1016/S0924-7963(98)00049-9")</f>
        <v>http://dx.doi.org/10.1016/S0924-7963(98)00049-9</v>
      </c>
      <c r="BG388" t="s">
        <v>74</v>
      </c>
      <c r="BH388" t="s">
        <v>74</v>
      </c>
      <c r="BI388">
        <v>14</v>
      </c>
      <c r="BJ388" t="s">
        <v>1628</v>
      </c>
      <c r="BK388" t="s">
        <v>235</v>
      </c>
      <c r="BL388" t="s">
        <v>1629</v>
      </c>
      <c r="BM388" t="s">
        <v>5319</v>
      </c>
      <c r="BN388" t="s">
        <v>74</v>
      </c>
      <c r="BO388" t="s">
        <v>74</v>
      </c>
      <c r="BP388" t="s">
        <v>74</v>
      </c>
      <c r="BQ388" t="s">
        <v>74</v>
      </c>
      <c r="BR388" t="s">
        <v>98</v>
      </c>
      <c r="BS388" t="s">
        <v>5499</v>
      </c>
      <c r="BT388" t="str">
        <f>HYPERLINK("https%3A%2F%2Fwww.webofscience.com%2Fwos%2Fwoscc%2Ffull-record%2FWOS:000077463500025","View Full Record in Web of Science")</f>
        <v>View Full Record in Web of Science</v>
      </c>
    </row>
    <row r="389" spans="1:72" x14ac:dyDescent="0.15">
      <c r="A389" t="s">
        <v>72</v>
      </c>
      <c r="B389" t="s">
        <v>5500</v>
      </c>
      <c r="C389" t="s">
        <v>74</v>
      </c>
      <c r="D389" t="s">
        <v>74</v>
      </c>
      <c r="E389" t="s">
        <v>74</v>
      </c>
      <c r="F389" t="s">
        <v>5500</v>
      </c>
      <c r="G389" t="s">
        <v>74</v>
      </c>
      <c r="H389" t="s">
        <v>74</v>
      </c>
      <c r="I389" t="s">
        <v>5501</v>
      </c>
      <c r="J389" t="s">
        <v>1613</v>
      </c>
      <c r="K389" t="s">
        <v>74</v>
      </c>
      <c r="L389" t="s">
        <v>74</v>
      </c>
      <c r="M389" t="s">
        <v>77</v>
      </c>
      <c r="N389" t="s">
        <v>123</v>
      </c>
      <c r="O389" t="s">
        <v>5309</v>
      </c>
      <c r="P389" t="s">
        <v>5310</v>
      </c>
      <c r="Q389" t="s">
        <v>3084</v>
      </c>
      <c r="R389" t="s">
        <v>74</v>
      </c>
      <c r="S389" t="s">
        <v>74</v>
      </c>
      <c r="T389" t="s">
        <v>5502</v>
      </c>
      <c r="U389" t="s">
        <v>5503</v>
      </c>
      <c r="V389" t="s">
        <v>5504</v>
      </c>
      <c r="W389" t="s">
        <v>5412</v>
      </c>
      <c r="X389" t="s">
        <v>2513</v>
      </c>
      <c r="Y389" t="s">
        <v>5505</v>
      </c>
      <c r="Z389" t="s">
        <v>5506</v>
      </c>
      <c r="AA389" t="s">
        <v>74</v>
      </c>
      <c r="AB389" t="s">
        <v>74</v>
      </c>
      <c r="AC389" t="s">
        <v>74</v>
      </c>
      <c r="AD389" t="s">
        <v>74</v>
      </c>
      <c r="AE389" t="s">
        <v>74</v>
      </c>
      <c r="AF389" t="s">
        <v>74</v>
      </c>
      <c r="AG389">
        <v>81</v>
      </c>
      <c r="AH389">
        <v>93</v>
      </c>
      <c r="AI389">
        <v>107</v>
      </c>
      <c r="AJ389">
        <v>0</v>
      </c>
      <c r="AK389">
        <v>15</v>
      </c>
      <c r="AL389" t="s">
        <v>1037</v>
      </c>
      <c r="AM389" t="s">
        <v>1038</v>
      </c>
      <c r="AN389" t="s">
        <v>1039</v>
      </c>
      <c r="AO389" t="s">
        <v>1623</v>
      </c>
      <c r="AP389" t="s">
        <v>1624</v>
      </c>
      <c r="AQ389" t="s">
        <v>74</v>
      </c>
      <c r="AR389" t="s">
        <v>1625</v>
      </c>
      <c r="AS389" t="s">
        <v>1626</v>
      </c>
      <c r="AT389" t="s">
        <v>5013</v>
      </c>
      <c r="AU389">
        <v>1998</v>
      </c>
      <c r="AV389">
        <v>17</v>
      </c>
      <c r="AW389" t="s">
        <v>5317</v>
      </c>
      <c r="AX389" t="s">
        <v>74</v>
      </c>
      <c r="AY389" t="s">
        <v>74</v>
      </c>
      <c r="AZ389" t="s">
        <v>74</v>
      </c>
      <c r="BA389" t="s">
        <v>74</v>
      </c>
      <c r="BB389">
        <v>375</v>
      </c>
      <c r="BC389">
        <v>390</v>
      </c>
      <c r="BD389" t="s">
        <v>74</v>
      </c>
      <c r="BE389" t="s">
        <v>5507</v>
      </c>
      <c r="BF389" t="str">
        <f>HYPERLINK("http://dx.doi.org/10.1016/S0924-7963(98)00050-5","http://dx.doi.org/10.1016/S0924-7963(98)00050-5")</f>
        <v>http://dx.doi.org/10.1016/S0924-7963(98)00050-5</v>
      </c>
      <c r="BG389" t="s">
        <v>74</v>
      </c>
      <c r="BH389" t="s">
        <v>74</v>
      </c>
      <c r="BI389">
        <v>16</v>
      </c>
      <c r="BJ389" t="s">
        <v>1628</v>
      </c>
      <c r="BK389" t="s">
        <v>144</v>
      </c>
      <c r="BL389" t="s">
        <v>1629</v>
      </c>
      <c r="BM389" t="s">
        <v>5319</v>
      </c>
      <c r="BN389" t="s">
        <v>74</v>
      </c>
      <c r="BO389" t="s">
        <v>74</v>
      </c>
      <c r="BP389" t="s">
        <v>74</v>
      </c>
      <c r="BQ389" t="s">
        <v>74</v>
      </c>
      <c r="BR389" t="s">
        <v>98</v>
      </c>
      <c r="BS389" t="s">
        <v>5508</v>
      </c>
      <c r="BT389" t="str">
        <f>HYPERLINK("https%3A%2F%2Fwww.webofscience.com%2Fwos%2Fwoscc%2Ffull-record%2FWOS:000077463500026","View Full Record in Web of Science")</f>
        <v>View Full Record in Web of Science</v>
      </c>
    </row>
    <row r="390" spans="1:72" x14ac:dyDescent="0.15">
      <c r="A390" t="s">
        <v>72</v>
      </c>
      <c r="B390" t="s">
        <v>5509</v>
      </c>
      <c r="C390" t="s">
        <v>74</v>
      </c>
      <c r="D390" t="s">
        <v>74</v>
      </c>
      <c r="E390" t="s">
        <v>74</v>
      </c>
      <c r="F390" t="s">
        <v>5509</v>
      </c>
      <c r="G390" t="s">
        <v>74</v>
      </c>
      <c r="H390" t="s">
        <v>74</v>
      </c>
      <c r="I390" t="s">
        <v>5510</v>
      </c>
      <c r="J390" t="s">
        <v>1613</v>
      </c>
      <c r="K390" t="s">
        <v>74</v>
      </c>
      <c r="L390" t="s">
        <v>74</v>
      </c>
      <c r="M390" t="s">
        <v>77</v>
      </c>
      <c r="N390" t="s">
        <v>123</v>
      </c>
      <c r="O390" t="s">
        <v>5309</v>
      </c>
      <c r="P390" t="s">
        <v>5310</v>
      </c>
      <c r="Q390" t="s">
        <v>3084</v>
      </c>
      <c r="R390" t="s">
        <v>74</v>
      </c>
      <c r="S390" t="s">
        <v>74</v>
      </c>
      <c r="T390" t="s">
        <v>5511</v>
      </c>
      <c r="U390" t="s">
        <v>5512</v>
      </c>
      <c r="V390" t="s">
        <v>5513</v>
      </c>
      <c r="W390" t="s">
        <v>5514</v>
      </c>
      <c r="X390" t="s">
        <v>5515</v>
      </c>
      <c r="Y390" t="s">
        <v>5516</v>
      </c>
      <c r="Z390" t="s">
        <v>5517</v>
      </c>
      <c r="AA390" t="s">
        <v>74</v>
      </c>
      <c r="AB390" t="s">
        <v>74</v>
      </c>
      <c r="AC390" t="s">
        <v>74</v>
      </c>
      <c r="AD390" t="s">
        <v>74</v>
      </c>
      <c r="AE390" t="s">
        <v>74</v>
      </c>
      <c r="AF390" t="s">
        <v>74</v>
      </c>
      <c r="AG390">
        <v>79</v>
      </c>
      <c r="AH390">
        <v>10</v>
      </c>
      <c r="AI390">
        <v>11</v>
      </c>
      <c r="AJ390">
        <v>0</v>
      </c>
      <c r="AK390">
        <v>15</v>
      </c>
      <c r="AL390" t="s">
        <v>1037</v>
      </c>
      <c r="AM390" t="s">
        <v>1038</v>
      </c>
      <c r="AN390" t="s">
        <v>1039</v>
      </c>
      <c r="AO390" t="s">
        <v>1623</v>
      </c>
      <c r="AP390" t="s">
        <v>74</v>
      </c>
      <c r="AQ390" t="s">
        <v>74</v>
      </c>
      <c r="AR390" t="s">
        <v>1625</v>
      </c>
      <c r="AS390" t="s">
        <v>1626</v>
      </c>
      <c r="AT390" t="s">
        <v>5013</v>
      </c>
      <c r="AU390">
        <v>1998</v>
      </c>
      <c r="AV390">
        <v>17</v>
      </c>
      <c r="AW390" t="s">
        <v>5317</v>
      </c>
      <c r="AX390" t="s">
        <v>74</v>
      </c>
      <c r="AY390" t="s">
        <v>74</v>
      </c>
      <c r="AZ390" t="s">
        <v>74</v>
      </c>
      <c r="BA390" t="s">
        <v>74</v>
      </c>
      <c r="BB390">
        <v>391</v>
      </c>
      <c r="BC390">
        <v>410</v>
      </c>
      <c r="BD390" t="s">
        <v>74</v>
      </c>
      <c r="BE390" t="s">
        <v>5518</v>
      </c>
      <c r="BF390" t="str">
        <f>HYPERLINK("http://dx.doi.org/10.1016/S0924-7963(98)00051-7","http://dx.doi.org/10.1016/S0924-7963(98)00051-7")</f>
        <v>http://dx.doi.org/10.1016/S0924-7963(98)00051-7</v>
      </c>
      <c r="BG390" t="s">
        <v>74</v>
      </c>
      <c r="BH390" t="s">
        <v>74</v>
      </c>
      <c r="BI390">
        <v>20</v>
      </c>
      <c r="BJ390" t="s">
        <v>1628</v>
      </c>
      <c r="BK390" t="s">
        <v>144</v>
      </c>
      <c r="BL390" t="s">
        <v>1629</v>
      </c>
      <c r="BM390" t="s">
        <v>5319</v>
      </c>
      <c r="BN390" t="s">
        <v>74</v>
      </c>
      <c r="BO390" t="s">
        <v>74</v>
      </c>
      <c r="BP390" t="s">
        <v>74</v>
      </c>
      <c r="BQ390" t="s">
        <v>74</v>
      </c>
      <c r="BR390" t="s">
        <v>98</v>
      </c>
      <c r="BS390" t="s">
        <v>5519</v>
      </c>
      <c r="BT390" t="str">
        <f>HYPERLINK("https%3A%2F%2Fwww.webofscience.com%2Fwos%2Fwoscc%2Ffull-record%2FWOS:000077463500027","View Full Record in Web of Science")</f>
        <v>View Full Record in Web of Science</v>
      </c>
    </row>
    <row r="391" spans="1:72" x14ac:dyDescent="0.15">
      <c r="A391" t="s">
        <v>72</v>
      </c>
      <c r="B391" t="s">
        <v>5520</v>
      </c>
      <c r="C391" t="s">
        <v>74</v>
      </c>
      <c r="D391" t="s">
        <v>74</v>
      </c>
      <c r="E391" t="s">
        <v>74</v>
      </c>
      <c r="F391" t="s">
        <v>5520</v>
      </c>
      <c r="G391" t="s">
        <v>74</v>
      </c>
      <c r="H391" t="s">
        <v>74</v>
      </c>
      <c r="I391" t="s">
        <v>5521</v>
      </c>
      <c r="J391" t="s">
        <v>1613</v>
      </c>
      <c r="K391" t="s">
        <v>74</v>
      </c>
      <c r="L391" t="s">
        <v>74</v>
      </c>
      <c r="M391" t="s">
        <v>77</v>
      </c>
      <c r="N391" t="s">
        <v>123</v>
      </c>
      <c r="O391" t="s">
        <v>5309</v>
      </c>
      <c r="P391" t="s">
        <v>5310</v>
      </c>
      <c r="Q391" t="s">
        <v>3084</v>
      </c>
      <c r="R391" t="s">
        <v>74</v>
      </c>
      <c r="S391" t="s">
        <v>74</v>
      </c>
      <c r="T391" t="s">
        <v>5522</v>
      </c>
      <c r="U391" t="s">
        <v>5523</v>
      </c>
      <c r="V391" t="s">
        <v>5524</v>
      </c>
      <c r="W391" t="s">
        <v>4637</v>
      </c>
      <c r="X391" t="s">
        <v>2492</v>
      </c>
      <c r="Y391" t="s">
        <v>5525</v>
      </c>
      <c r="Z391" t="s">
        <v>5526</v>
      </c>
      <c r="AA391" t="s">
        <v>3972</v>
      </c>
      <c r="AB391" t="s">
        <v>3973</v>
      </c>
      <c r="AC391" t="s">
        <v>74</v>
      </c>
      <c r="AD391" t="s">
        <v>74</v>
      </c>
      <c r="AE391" t="s">
        <v>74</v>
      </c>
      <c r="AF391" t="s">
        <v>74</v>
      </c>
      <c r="AG391">
        <v>35</v>
      </c>
      <c r="AH391">
        <v>19</v>
      </c>
      <c r="AI391">
        <v>19</v>
      </c>
      <c r="AJ391">
        <v>0</v>
      </c>
      <c r="AK391">
        <v>2</v>
      </c>
      <c r="AL391" t="s">
        <v>1037</v>
      </c>
      <c r="AM391" t="s">
        <v>1038</v>
      </c>
      <c r="AN391" t="s">
        <v>1039</v>
      </c>
      <c r="AO391" t="s">
        <v>1623</v>
      </c>
      <c r="AP391" t="s">
        <v>1624</v>
      </c>
      <c r="AQ391" t="s">
        <v>74</v>
      </c>
      <c r="AR391" t="s">
        <v>1625</v>
      </c>
      <c r="AS391" t="s">
        <v>1626</v>
      </c>
      <c r="AT391" t="s">
        <v>5013</v>
      </c>
      <c r="AU391">
        <v>1998</v>
      </c>
      <c r="AV391">
        <v>17</v>
      </c>
      <c r="AW391" t="s">
        <v>5317</v>
      </c>
      <c r="AX391" t="s">
        <v>74</v>
      </c>
      <c r="AY391" t="s">
        <v>74</v>
      </c>
      <c r="AZ391" t="s">
        <v>74</v>
      </c>
      <c r="BA391" t="s">
        <v>74</v>
      </c>
      <c r="BB391">
        <v>425</v>
      </c>
      <c r="BC391">
        <v>434</v>
      </c>
      <c r="BD391" t="s">
        <v>74</v>
      </c>
      <c r="BE391" t="s">
        <v>5527</v>
      </c>
      <c r="BF391" t="str">
        <f>HYPERLINK("http://dx.doi.org/10.1016/S0924-7963(98)00053-0","http://dx.doi.org/10.1016/S0924-7963(98)00053-0")</f>
        <v>http://dx.doi.org/10.1016/S0924-7963(98)00053-0</v>
      </c>
      <c r="BG391" t="s">
        <v>74</v>
      </c>
      <c r="BH391" t="s">
        <v>74</v>
      </c>
      <c r="BI391">
        <v>10</v>
      </c>
      <c r="BJ391" t="s">
        <v>1628</v>
      </c>
      <c r="BK391" t="s">
        <v>144</v>
      </c>
      <c r="BL391" t="s">
        <v>1629</v>
      </c>
      <c r="BM391" t="s">
        <v>5319</v>
      </c>
      <c r="BN391" t="s">
        <v>74</v>
      </c>
      <c r="BO391" t="s">
        <v>74</v>
      </c>
      <c r="BP391" t="s">
        <v>74</v>
      </c>
      <c r="BQ391" t="s">
        <v>74</v>
      </c>
      <c r="BR391" t="s">
        <v>98</v>
      </c>
      <c r="BS391" t="s">
        <v>5528</v>
      </c>
      <c r="BT391" t="str">
        <f>HYPERLINK("https%3A%2F%2Fwww.webofscience.com%2Fwos%2Fwoscc%2Ffull-record%2FWOS:000077463500029","View Full Record in Web of Science")</f>
        <v>View Full Record in Web of Science</v>
      </c>
    </row>
    <row r="392" spans="1:72" x14ac:dyDescent="0.15">
      <c r="A392" t="s">
        <v>72</v>
      </c>
      <c r="B392" t="s">
        <v>5529</v>
      </c>
      <c r="C392" t="s">
        <v>74</v>
      </c>
      <c r="D392" t="s">
        <v>74</v>
      </c>
      <c r="E392" t="s">
        <v>74</v>
      </c>
      <c r="F392" t="s">
        <v>5529</v>
      </c>
      <c r="G392" t="s">
        <v>74</v>
      </c>
      <c r="H392" t="s">
        <v>74</v>
      </c>
      <c r="I392" t="s">
        <v>5530</v>
      </c>
      <c r="J392" t="s">
        <v>1613</v>
      </c>
      <c r="K392" t="s">
        <v>74</v>
      </c>
      <c r="L392" t="s">
        <v>74</v>
      </c>
      <c r="M392" t="s">
        <v>77</v>
      </c>
      <c r="N392" t="s">
        <v>123</v>
      </c>
      <c r="O392" t="s">
        <v>5309</v>
      </c>
      <c r="P392" t="s">
        <v>5310</v>
      </c>
      <c r="Q392" t="s">
        <v>3084</v>
      </c>
      <c r="R392" t="s">
        <v>74</v>
      </c>
      <c r="S392" t="s">
        <v>74</v>
      </c>
      <c r="T392" t="s">
        <v>5531</v>
      </c>
      <c r="U392" t="s">
        <v>5532</v>
      </c>
      <c r="V392" t="s">
        <v>5533</v>
      </c>
      <c r="W392" t="s">
        <v>4004</v>
      </c>
      <c r="X392" t="s">
        <v>509</v>
      </c>
      <c r="Y392" t="s">
        <v>5534</v>
      </c>
      <c r="Z392" t="s">
        <v>4006</v>
      </c>
      <c r="AA392" t="s">
        <v>2114</v>
      </c>
      <c r="AB392" t="s">
        <v>5535</v>
      </c>
      <c r="AC392" t="s">
        <v>74</v>
      </c>
      <c r="AD392" t="s">
        <v>74</v>
      </c>
      <c r="AE392" t="s">
        <v>74</v>
      </c>
      <c r="AF392" t="s">
        <v>74</v>
      </c>
      <c r="AG392">
        <v>41</v>
      </c>
      <c r="AH392">
        <v>44</v>
      </c>
      <c r="AI392">
        <v>46</v>
      </c>
      <c r="AJ392">
        <v>0</v>
      </c>
      <c r="AK392">
        <v>7</v>
      </c>
      <c r="AL392" t="s">
        <v>1037</v>
      </c>
      <c r="AM392" t="s">
        <v>1038</v>
      </c>
      <c r="AN392" t="s">
        <v>1039</v>
      </c>
      <c r="AO392" t="s">
        <v>1623</v>
      </c>
      <c r="AP392" t="s">
        <v>74</v>
      </c>
      <c r="AQ392" t="s">
        <v>74</v>
      </c>
      <c r="AR392" t="s">
        <v>1625</v>
      </c>
      <c r="AS392" t="s">
        <v>1626</v>
      </c>
      <c r="AT392" t="s">
        <v>5013</v>
      </c>
      <c r="AU392">
        <v>1998</v>
      </c>
      <c r="AV392">
        <v>17</v>
      </c>
      <c r="AW392" t="s">
        <v>5317</v>
      </c>
      <c r="AX392" t="s">
        <v>74</v>
      </c>
      <c r="AY392" t="s">
        <v>74</v>
      </c>
      <c r="AZ392" t="s">
        <v>74</v>
      </c>
      <c r="BA392" t="s">
        <v>74</v>
      </c>
      <c r="BB392">
        <v>435</v>
      </c>
      <c r="BC392">
        <v>444</v>
      </c>
      <c r="BD392" t="s">
        <v>74</v>
      </c>
      <c r="BE392" t="s">
        <v>5536</v>
      </c>
      <c r="BF392" t="str">
        <f>HYPERLINK("http://dx.doi.org/10.1016/S0924-7963(98)00054-2","http://dx.doi.org/10.1016/S0924-7963(98)00054-2")</f>
        <v>http://dx.doi.org/10.1016/S0924-7963(98)00054-2</v>
      </c>
      <c r="BG392" t="s">
        <v>74</v>
      </c>
      <c r="BH392" t="s">
        <v>74</v>
      </c>
      <c r="BI392">
        <v>10</v>
      </c>
      <c r="BJ392" t="s">
        <v>1628</v>
      </c>
      <c r="BK392" t="s">
        <v>235</v>
      </c>
      <c r="BL392" t="s">
        <v>1629</v>
      </c>
      <c r="BM392" t="s">
        <v>5319</v>
      </c>
      <c r="BN392" t="s">
        <v>74</v>
      </c>
      <c r="BO392" t="s">
        <v>74</v>
      </c>
      <c r="BP392" t="s">
        <v>74</v>
      </c>
      <c r="BQ392" t="s">
        <v>74</v>
      </c>
      <c r="BR392" t="s">
        <v>98</v>
      </c>
      <c r="BS392" t="s">
        <v>5537</v>
      </c>
      <c r="BT392" t="str">
        <f>HYPERLINK("https%3A%2F%2Fwww.webofscience.com%2Fwos%2Fwoscc%2Ffull-record%2FWOS:000077463500030","View Full Record in Web of Science")</f>
        <v>View Full Record in Web of Science</v>
      </c>
    </row>
    <row r="393" spans="1:72" x14ac:dyDescent="0.15">
      <c r="A393" t="s">
        <v>72</v>
      </c>
      <c r="B393" t="s">
        <v>5538</v>
      </c>
      <c r="C393" t="s">
        <v>74</v>
      </c>
      <c r="D393" t="s">
        <v>74</v>
      </c>
      <c r="E393" t="s">
        <v>74</v>
      </c>
      <c r="F393" t="s">
        <v>5538</v>
      </c>
      <c r="G393" t="s">
        <v>74</v>
      </c>
      <c r="H393" t="s">
        <v>74</v>
      </c>
      <c r="I393" t="s">
        <v>5539</v>
      </c>
      <c r="J393" t="s">
        <v>1613</v>
      </c>
      <c r="K393" t="s">
        <v>74</v>
      </c>
      <c r="L393" t="s">
        <v>74</v>
      </c>
      <c r="M393" t="s">
        <v>77</v>
      </c>
      <c r="N393" t="s">
        <v>123</v>
      </c>
      <c r="O393" t="s">
        <v>5309</v>
      </c>
      <c r="P393" t="s">
        <v>5310</v>
      </c>
      <c r="Q393" t="s">
        <v>3084</v>
      </c>
      <c r="R393" t="s">
        <v>74</v>
      </c>
      <c r="S393" t="s">
        <v>74</v>
      </c>
      <c r="T393" t="s">
        <v>5540</v>
      </c>
      <c r="U393" t="s">
        <v>5541</v>
      </c>
      <c r="V393" t="s">
        <v>5542</v>
      </c>
      <c r="W393" t="s">
        <v>5543</v>
      </c>
      <c r="X393" t="s">
        <v>5544</v>
      </c>
      <c r="Y393" t="s">
        <v>5545</v>
      </c>
      <c r="Z393" t="s">
        <v>74</v>
      </c>
      <c r="AA393" t="s">
        <v>74</v>
      </c>
      <c r="AB393" t="s">
        <v>74</v>
      </c>
      <c r="AC393" t="s">
        <v>74</v>
      </c>
      <c r="AD393" t="s">
        <v>74</v>
      </c>
      <c r="AE393" t="s">
        <v>74</v>
      </c>
      <c r="AF393" t="s">
        <v>74</v>
      </c>
      <c r="AG393">
        <v>33</v>
      </c>
      <c r="AH393">
        <v>46</v>
      </c>
      <c r="AI393">
        <v>52</v>
      </c>
      <c r="AJ393">
        <v>0</v>
      </c>
      <c r="AK393">
        <v>14</v>
      </c>
      <c r="AL393" t="s">
        <v>1037</v>
      </c>
      <c r="AM393" t="s">
        <v>1038</v>
      </c>
      <c r="AN393" t="s">
        <v>1039</v>
      </c>
      <c r="AO393" t="s">
        <v>1623</v>
      </c>
      <c r="AP393" t="s">
        <v>74</v>
      </c>
      <c r="AQ393" t="s">
        <v>74</v>
      </c>
      <c r="AR393" t="s">
        <v>1625</v>
      </c>
      <c r="AS393" t="s">
        <v>1626</v>
      </c>
      <c r="AT393" t="s">
        <v>5013</v>
      </c>
      <c r="AU393">
        <v>1998</v>
      </c>
      <c r="AV393">
        <v>17</v>
      </c>
      <c r="AW393" t="s">
        <v>5317</v>
      </c>
      <c r="AX393" t="s">
        <v>74</v>
      </c>
      <c r="AY393" t="s">
        <v>74</v>
      </c>
      <c r="AZ393" t="s">
        <v>74</v>
      </c>
      <c r="BA393" t="s">
        <v>74</v>
      </c>
      <c r="BB393">
        <v>445</v>
      </c>
      <c r="BC393">
        <v>457</v>
      </c>
      <c r="BD393" t="s">
        <v>74</v>
      </c>
      <c r="BE393" t="s">
        <v>5546</v>
      </c>
      <c r="BF393" t="str">
        <f>HYPERLINK("http://dx.doi.org/10.1016/S0924-7963(98)00057-8","http://dx.doi.org/10.1016/S0924-7963(98)00057-8")</f>
        <v>http://dx.doi.org/10.1016/S0924-7963(98)00057-8</v>
      </c>
      <c r="BG393" t="s">
        <v>74</v>
      </c>
      <c r="BH393" t="s">
        <v>74</v>
      </c>
      <c r="BI393">
        <v>13</v>
      </c>
      <c r="BJ393" t="s">
        <v>1628</v>
      </c>
      <c r="BK393" t="s">
        <v>235</v>
      </c>
      <c r="BL393" t="s">
        <v>1629</v>
      </c>
      <c r="BM393" t="s">
        <v>5319</v>
      </c>
      <c r="BN393" t="s">
        <v>74</v>
      </c>
      <c r="BO393" t="s">
        <v>74</v>
      </c>
      <c r="BP393" t="s">
        <v>74</v>
      </c>
      <c r="BQ393" t="s">
        <v>74</v>
      </c>
      <c r="BR393" t="s">
        <v>98</v>
      </c>
      <c r="BS393" t="s">
        <v>5547</v>
      </c>
      <c r="BT393" t="str">
        <f>HYPERLINK("https%3A%2F%2Fwww.webofscience.com%2Fwos%2Fwoscc%2Ffull-record%2FWOS:000077463500031","View Full Record in Web of Science")</f>
        <v>View Full Record in Web of Science</v>
      </c>
    </row>
    <row r="394" spans="1:72" x14ac:dyDescent="0.15">
      <c r="A394" t="s">
        <v>72</v>
      </c>
      <c r="B394" t="s">
        <v>5548</v>
      </c>
      <c r="C394" t="s">
        <v>74</v>
      </c>
      <c r="D394" t="s">
        <v>74</v>
      </c>
      <c r="E394" t="s">
        <v>74</v>
      </c>
      <c r="F394" t="s">
        <v>5548</v>
      </c>
      <c r="G394" t="s">
        <v>74</v>
      </c>
      <c r="H394" t="s">
        <v>74</v>
      </c>
      <c r="I394" t="s">
        <v>5549</v>
      </c>
      <c r="J394" t="s">
        <v>1613</v>
      </c>
      <c r="K394" t="s">
        <v>74</v>
      </c>
      <c r="L394" t="s">
        <v>74</v>
      </c>
      <c r="M394" t="s">
        <v>77</v>
      </c>
      <c r="N394" t="s">
        <v>123</v>
      </c>
      <c r="O394" t="s">
        <v>5309</v>
      </c>
      <c r="P394" t="s">
        <v>5310</v>
      </c>
      <c r="Q394" t="s">
        <v>3084</v>
      </c>
      <c r="R394" t="s">
        <v>74</v>
      </c>
      <c r="S394" t="s">
        <v>74</v>
      </c>
      <c r="T394" t="s">
        <v>5550</v>
      </c>
      <c r="U394" t="s">
        <v>5551</v>
      </c>
      <c r="V394" t="s">
        <v>5552</v>
      </c>
      <c r="W394" t="s">
        <v>5553</v>
      </c>
      <c r="X394" t="s">
        <v>5554</v>
      </c>
      <c r="Y394" t="s">
        <v>5555</v>
      </c>
      <c r="Z394" t="s">
        <v>5556</v>
      </c>
      <c r="AA394" t="s">
        <v>74</v>
      </c>
      <c r="AB394" t="s">
        <v>5557</v>
      </c>
      <c r="AC394" t="s">
        <v>74</v>
      </c>
      <c r="AD394" t="s">
        <v>74</v>
      </c>
      <c r="AE394" t="s">
        <v>74</v>
      </c>
      <c r="AF394" t="s">
        <v>74</v>
      </c>
      <c r="AG394">
        <v>62</v>
      </c>
      <c r="AH394">
        <v>78</v>
      </c>
      <c r="AI394">
        <v>85</v>
      </c>
      <c r="AJ394">
        <v>0</v>
      </c>
      <c r="AK394">
        <v>11</v>
      </c>
      <c r="AL394" t="s">
        <v>1037</v>
      </c>
      <c r="AM394" t="s">
        <v>1038</v>
      </c>
      <c r="AN394" t="s">
        <v>1039</v>
      </c>
      <c r="AO394" t="s">
        <v>1623</v>
      </c>
      <c r="AP394" t="s">
        <v>1624</v>
      </c>
      <c r="AQ394" t="s">
        <v>74</v>
      </c>
      <c r="AR394" t="s">
        <v>1625</v>
      </c>
      <c r="AS394" t="s">
        <v>1626</v>
      </c>
      <c r="AT394" t="s">
        <v>5013</v>
      </c>
      <c r="AU394">
        <v>1998</v>
      </c>
      <c r="AV394">
        <v>17</v>
      </c>
      <c r="AW394" t="s">
        <v>5317</v>
      </c>
      <c r="AX394" t="s">
        <v>74</v>
      </c>
      <c r="AY394" t="s">
        <v>74</v>
      </c>
      <c r="AZ394" t="s">
        <v>74</v>
      </c>
      <c r="BA394" t="s">
        <v>74</v>
      </c>
      <c r="BB394">
        <v>497</v>
      </c>
      <c r="BC394">
        <v>514</v>
      </c>
      <c r="BD394" t="s">
        <v>74</v>
      </c>
      <c r="BE394" t="s">
        <v>5558</v>
      </c>
      <c r="BF394" t="str">
        <f>HYPERLINK("http://dx.doi.org/10.1016/S0924-7963(98)00060-8","http://dx.doi.org/10.1016/S0924-7963(98)00060-8")</f>
        <v>http://dx.doi.org/10.1016/S0924-7963(98)00060-8</v>
      </c>
      <c r="BG394" t="s">
        <v>74</v>
      </c>
      <c r="BH394" t="s">
        <v>74</v>
      </c>
      <c r="BI394">
        <v>18</v>
      </c>
      <c r="BJ394" t="s">
        <v>1628</v>
      </c>
      <c r="BK394" t="s">
        <v>144</v>
      </c>
      <c r="BL394" t="s">
        <v>1629</v>
      </c>
      <c r="BM394" t="s">
        <v>5319</v>
      </c>
      <c r="BN394" t="s">
        <v>74</v>
      </c>
      <c r="BO394" t="s">
        <v>1429</v>
      </c>
      <c r="BP394" t="s">
        <v>74</v>
      </c>
      <c r="BQ394" t="s">
        <v>74</v>
      </c>
      <c r="BR394" t="s">
        <v>98</v>
      </c>
      <c r="BS394" t="s">
        <v>5559</v>
      </c>
      <c r="BT394" t="str">
        <f>HYPERLINK("https%3A%2F%2Fwww.webofscience.com%2Fwos%2Fwoscc%2Ffull-record%2FWOS:000077463500034","View Full Record in Web of Science")</f>
        <v>View Full Record in Web of Science</v>
      </c>
    </row>
    <row r="395" spans="1:72" x14ac:dyDescent="0.15">
      <c r="A395" t="s">
        <v>72</v>
      </c>
      <c r="B395" t="s">
        <v>5560</v>
      </c>
      <c r="C395" t="s">
        <v>74</v>
      </c>
      <c r="D395" t="s">
        <v>74</v>
      </c>
      <c r="E395" t="s">
        <v>74</v>
      </c>
      <c r="F395" t="s">
        <v>5560</v>
      </c>
      <c r="G395" t="s">
        <v>74</v>
      </c>
      <c r="H395" t="s">
        <v>74</v>
      </c>
      <c r="I395" t="s">
        <v>5561</v>
      </c>
      <c r="J395" t="s">
        <v>1613</v>
      </c>
      <c r="K395" t="s">
        <v>74</v>
      </c>
      <c r="L395" t="s">
        <v>74</v>
      </c>
      <c r="M395" t="s">
        <v>77</v>
      </c>
      <c r="N395" t="s">
        <v>123</v>
      </c>
      <c r="O395" t="s">
        <v>5309</v>
      </c>
      <c r="P395" t="s">
        <v>5310</v>
      </c>
      <c r="Q395" t="s">
        <v>3084</v>
      </c>
      <c r="R395" t="s">
        <v>74</v>
      </c>
      <c r="S395" t="s">
        <v>74</v>
      </c>
      <c r="T395" t="s">
        <v>5562</v>
      </c>
      <c r="U395" t="s">
        <v>5563</v>
      </c>
      <c r="V395" t="s">
        <v>5564</v>
      </c>
      <c r="W395" t="s">
        <v>5565</v>
      </c>
      <c r="X395" t="s">
        <v>5566</v>
      </c>
      <c r="Y395" t="s">
        <v>5567</v>
      </c>
      <c r="Z395" t="s">
        <v>5568</v>
      </c>
      <c r="AA395" t="s">
        <v>5569</v>
      </c>
      <c r="AB395" t="s">
        <v>5570</v>
      </c>
      <c r="AC395" t="s">
        <v>74</v>
      </c>
      <c r="AD395" t="s">
        <v>74</v>
      </c>
      <c r="AE395" t="s">
        <v>74</v>
      </c>
      <c r="AF395" t="s">
        <v>74</v>
      </c>
      <c r="AG395">
        <v>33</v>
      </c>
      <c r="AH395">
        <v>27</v>
      </c>
      <c r="AI395">
        <v>28</v>
      </c>
      <c r="AJ395">
        <v>0</v>
      </c>
      <c r="AK395">
        <v>11</v>
      </c>
      <c r="AL395" t="s">
        <v>1037</v>
      </c>
      <c r="AM395" t="s">
        <v>1038</v>
      </c>
      <c r="AN395" t="s">
        <v>1039</v>
      </c>
      <c r="AO395" t="s">
        <v>1623</v>
      </c>
      <c r="AP395" t="s">
        <v>74</v>
      </c>
      <c r="AQ395" t="s">
        <v>74</v>
      </c>
      <c r="AR395" t="s">
        <v>1625</v>
      </c>
      <c r="AS395" t="s">
        <v>1626</v>
      </c>
      <c r="AT395" t="s">
        <v>5013</v>
      </c>
      <c r="AU395">
        <v>1998</v>
      </c>
      <c r="AV395">
        <v>17</v>
      </c>
      <c r="AW395" t="s">
        <v>5317</v>
      </c>
      <c r="AX395" t="s">
        <v>74</v>
      </c>
      <c r="AY395" t="s">
        <v>74</v>
      </c>
      <c r="AZ395" t="s">
        <v>74</v>
      </c>
      <c r="BA395" t="s">
        <v>74</v>
      </c>
      <c r="BB395">
        <v>515</v>
      </c>
      <c r="BC395">
        <v>525</v>
      </c>
      <c r="BD395" t="s">
        <v>74</v>
      </c>
      <c r="BE395" t="s">
        <v>5571</v>
      </c>
      <c r="BF395" t="str">
        <f>HYPERLINK("http://dx.doi.org/10.1016/S0924-7963(98)00061-X","http://dx.doi.org/10.1016/S0924-7963(98)00061-X")</f>
        <v>http://dx.doi.org/10.1016/S0924-7963(98)00061-X</v>
      </c>
      <c r="BG395" t="s">
        <v>74</v>
      </c>
      <c r="BH395" t="s">
        <v>74</v>
      </c>
      <c r="BI395">
        <v>11</v>
      </c>
      <c r="BJ395" t="s">
        <v>1628</v>
      </c>
      <c r="BK395" t="s">
        <v>235</v>
      </c>
      <c r="BL395" t="s">
        <v>1629</v>
      </c>
      <c r="BM395" t="s">
        <v>5319</v>
      </c>
      <c r="BN395" t="s">
        <v>74</v>
      </c>
      <c r="BO395" t="s">
        <v>483</v>
      </c>
      <c r="BP395" t="s">
        <v>74</v>
      </c>
      <c r="BQ395" t="s">
        <v>74</v>
      </c>
      <c r="BR395" t="s">
        <v>98</v>
      </c>
      <c r="BS395" t="s">
        <v>5572</v>
      </c>
      <c r="BT395" t="str">
        <f>HYPERLINK("https%3A%2F%2Fwww.webofscience.com%2Fwos%2Fwoscc%2Ffull-record%2FWOS:000077463500035","View Full Record in Web of Science")</f>
        <v>View Full Record in Web of Science</v>
      </c>
    </row>
    <row r="396" spans="1:72" x14ac:dyDescent="0.15">
      <c r="A396" t="s">
        <v>72</v>
      </c>
      <c r="B396" t="s">
        <v>5573</v>
      </c>
      <c r="C396" t="s">
        <v>74</v>
      </c>
      <c r="D396" t="s">
        <v>74</v>
      </c>
      <c r="E396" t="s">
        <v>74</v>
      </c>
      <c r="F396" t="s">
        <v>5573</v>
      </c>
      <c r="G396" t="s">
        <v>74</v>
      </c>
      <c r="H396" t="s">
        <v>74</v>
      </c>
      <c r="I396" t="s">
        <v>5574</v>
      </c>
      <c r="J396" t="s">
        <v>1613</v>
      </c>
      <c r="K396" t="s">
        <v>74</v>
      </c>
      <c r="L396" t="s">
        <v>74</v>
      </c>
      <c r="M396" t="s">
        <v>77</v>
      </c>
      <c r="N396" t="s">
        <v>123</v>
      </c>
      <c r="O396" t="s">
        <v>5309</v>
      </c>
      <c r="P396" t="s">
        <v>5310</v>
      </c>
      <c r="Q396" t="s">
        <v>3084</v>
      </c>
      <c r="R396" t="s">
        <v>74</v>
      </c>
      <c r="S396" t="s">
        <v>74</v>
      </c>
      <c r="T396" t="s">
        <v>5575</v>
      </c>
      <c r="U396" t="s">
        <v>5576</v>
      </c>
      <c r="V396" t="s">
        <v>5577</v>
      </c>
      <c r="W396" t="s">
        <v>5578</v>
      </c>
      <c r="X396" t="s">
        <v>5579</v>
      </c>
      <c r="Y396" t="s">
        <v>5580</v>
      </c>
      <c r="Z396" t="s">
        <v>5581</v>
      </c>
      <c r="AA396" t="s">
        <v>5582</v>
      </c>
      <c r="AB396" t="s">
        <v>5583</v>
      </c>
      <c r="AC396" t="s">
        <v>74</v>
      </c>
      <c r="AD396" t="s">
        <v>74</v>
      </c>
      <c r="AE396" t="s">
        <v>74</v>
      </c>
      <c r="AF396" t="s">
        <v>74</v>
      </c>
      <c r="AG396">
        <v>59</v>
      </c>
      <c r="AH396">
        <v>42</v>
      </c>
      <c r="AI396">
        <v>47</v>
      </c>
      <c r="AJ396">
        <v>0</v>
      </c>
      <c r="AK396">
        <v>19</v>
      </c>
      <c r="AL396" t="s">
        <v>1037</v>
      </c>
      <c r="AM396" t="s">
        <v>1038</v>
      </c>
      <c r="AN396" t="s">
        <v>1039</v>
      </c>
      <c r="AO396" t="s">
        <v>1623</v>
      </c>
      <c r="AP396" t="s">
        <v>74</v>
      </c>
      <c r="AQ396" t="s">
        <v>74</v>
      </c>
      <c r="AR396" t="s">
        <v>1625</v>
      </c>
      <c r="AS396" t="s">
        <v>1626</v>
      </c>
      <c r="AT396" t="s">
        <v>5013</v>
      </c>
      <c r="AU396">
        <v>1998</v>
      </c>
      <c r="AV396">
        <v>17</v>
      </c>
      <c r="AW396" t="s">
        <v>5317</v>
      </c>
      <c r="AX396" t="s">
        <v>74</v>
      </c>
      <c r="AY396" t="s">
        <v>74</v>
      </c>
      <c r="AZ396" t="s">
        <v>74</v>
      </c>
      <c r="BA396" t="s">
        <v>74</v>
      </c>
      <c r="BB396">
        <v>527</v>
      </c>
      <c r="BC396">
        <v>539</v>
      </c>
      <c r="BD396" t="s">
        <v>74</v>
      </c>
      <c r="BE396" t="s">
        <v>5584</v>
      </c>
      <c r="BF396" t="str">
        <f>HYPERLINK("http://dx.doi.org/10.1016/S0924-7963(98)00062-1","http://dx.doi.org/10.1016/S0924-7963(98)00062-1")</f>
        <v>http://dx.doi.org/10.1016/S0924-7963(98)00062-1</v>
      </c>
      <c r="BG396" t="s">
        <v>74</v>
      </c>
      <c r="BH396" t="s">
        <v>74</v>
      </c>
      <c r="BI396">
        <v>13</v>
      </c>
      <c r="BJ396" t="s">
        <v>1628</v>
      </c>
      <c r="BK396" t="s">
        <v>144</v>
      </c>
      <c r="BL396" t="s">
        <v>1629</v>
      </c>
      <c r="BM396" t="s">
        <v>5319</v>
      </c>
      <c r="BN396" t="s">
        <v>74</v>
      </c>
      <c r="BO396" t="s">
        <v>74</v>
      </c>
      <c r="BP396" t="s">
        <v>74</v>
      </c>
      <c r="BQ396" t="s">
        <v>74</v>
      </c>
      <c r="BR396" t="s">
        <v>98</v>
      </c>
      <c r="BS396" t="s">
        <v>5585</v>
      </c>
      <c r="BT396" t="str">
        <f>HYPERLINK("https%3A%2F%2Fwww.webofscience.com%2Fwos%2Fwoscc%2Ffull-record%2FWOS:000077463500036","View Full Record in Web of Science")</f>
        <v>View Full Record in Web of Science</v>
      </c>
    </row>
    <row r="397" spans="1:72" x14ac:dyDescent="0.15">
      <c r="A397" t="s">
        <v>72</v>
      </c>
      <c r="B397" t="s">
        <v>5586</v>
      </c>
      <c r="C397" t="s">
        <v>74</v>
      </c>
      <c r="D397" t="s">
        <v>74</v>
      </c>
      <c r="E397" t="s">
        <v>74</v>
      </c>
      <c r="F397" t="s">
        <v>5586</v>
      </c>
      <c r="G397" t="s">
        <v>74</v>
      </c>
      <c r="H397" t="s">
        <v>74</v>
      </c>
      <c r="I397" t="s">
        <v>5587</v>
      </c>
      <c r="J397" t="s">
        <v>1613</v>
      </c>
      <c r="K397" t="s">
        <v>74</v>
      </c>
      <c r="L397" t="s">
        <v>74</v>
      </c>
      <c r="M397" t="s">
        <v>77</v>
      </c>
      <c r="N397" t="s">
        <v>123</v>
      </c>
      <c r="O397" t="s">
        <v>5309</v>
      </c>
      <c r="P397" t="s">
        <v>5310</v>
      </c>
      <c r="Q397" t="s">
        <v>3084</v>
      </c>
      <c r="R397" t="s">
        <v>74</v>
      </c>
      <c r="S397" t="s">
        <v>74</v>
      </c>
      <c r="T397" t="s">
        <v>5588</v>
      </c>
      <c r="U397" t="s">
        <v>5589</v>
      </c>
      <c r="V397" t="s">
        <v>5590</v>
      </c>
      <c r="W397" t="s">
        <v>5591</v>
      </c>
      <c r="X397" t="s">
        <v>5592</v>
      </c>
      <c r="Y397" t="s">
        <v>5593</v>
      </c>
      <c r="Z397" t="s">
        <v>74</v>
      </c>
      <c r="AA397" t="s">
        <v>74</v>
      </c>
      <c r="AB397" t="s">
        <v>74</v>
      </c>
      <c r="AC397" t="s">
        <v>74</v>
      </c>
      <c r="AD397" t="s">
        <v>74</v>
      </c>
      <c r="AE397" t="s">
        <v>74</v>
      </c>
      <c r="AF397" t="s">
        <v>74</v>
      </c>
      <c r="AG397">
        <v>28</v>
      </c>
      <c r="AH397">
        <v>12</v>
      </c>
      <c r="AI397">
        <v>12</v>
      </c>
      <c r="AJ397">
        <v>0</v>
      </c>
      <c r="AK397">
        <v>6</v>
      </c>
      <c r="AL397" t="s">
        <v>1037</v>
      </c>
      <c r="AM397" t="s">
        <v>1038</v>
      </c>
      <c r="AN397" t="s">
        <v>1039</v>
      </c>
      <c r="AO397" t="s">
        <v>1623</v>
      </c>
      <c r="AP397" t="s">
        <v>74</v>
      </c>
      <c r="AQ397" t="s">
        <v>74</v>
      </c>
      <c r="AR397" t="s">
        <v>1625</v>
      </c>
      <c r="AS397" t="s">
        <v>1626</v>
      </c>
      <c r="AT397" t="s">
        <v>5013</v>
      </c>
      <c r="AU397">
        <v>1998</v>
      </c>
      <c r="AV397">
        <v>17</v>
      </c>
      <c r="AW397" t="s">
        <v>5317</v>
      </c>
      <c r="AX397" t="s">
        <v>74</v>
      </c>
      <c r="AY397" t="s">
        <v>74</v>
      </c>
      <c r="AZ397" t="s">
        <v>74</v>
      </c>
      <c r="BA397" t="s">
        <v>74</v>
      </c>
      <c r="BB397">
        <v>541</v>
      </c>
      <c r="BC397">
        <v>554</v>
      </c>
      <c r="BD397" t="s">
        <v>74</v>
      </c>
      <c r="BE397" t="s">
        <v>5594</v>
      </c>
      <c r="BF397" t="str">
        <f>HYPERLINK("http://dx.doi.org/10.1016/S0924-7963(98)00063-3","http://dx.doi.org/10.1016/S0924-7963(98)00063-3")</f>
        <v>http://dx.doi.org/10.1016/S0924-7963(98)00063-3</v>
      </c>
      <c r="BG397" t="s">
        <v>74</v>
      </c>
      <c r="BH397" t="s">
        <v>74</v>
      </c>
      <c r="BI397">
        <v>14</v>
      </c>
      <c r="BJ397" t="s">
        <v>1628</v>
      </c>
      <c r="BK397" t="s">
        <v>235</v>
      </c>
      <c r="BL397" t="s">
        <v>1629</v>
      </c>
      <c r="BM397" t="s">
        <v>5319</v>
      </c>
      <c r="BN397" t="s">
        <v>74</v>
      </c>
      <c r="BO397" t="s">
        <v>74</v>
      </c>
      <c r="BP397" t="s">
        <v>74</v>
      </c>
      <c r="BQ397" t="s">
        <v>74</v>
      </c>
      <c r="BR397" t="s">
        <v>98</v>
      </c>
      <c r="BS397" t="s">
        <v>5595</v>
      </c>
      <c r="BT397" t="str">
        <f>HYPERLINK("https%3A%2F%2Fwww.webofscience.com%2Fwos%2Fwoscc%2Ffull-record%2FWOS:000077463500037","View Full Record in Web of Science")</f>
        <v>View Full Record in Web of Science</v>
      </c>
    </row>
    <row r="398" spans="1:72" x14ac:dyDescent="0.15">
      <c r="A398" t="s">
        <v>72</v>
      </c>
      <c r="B398" t="s">
        <v>5596</v>
      </c>
      <c r="C398" t="s">
        <v>74</v>
      </c>
      <c r="D398" t="s">
        <v>74</v>
      </c>
      <c r="E398" t="s">
        <v>74</v>
      </c>
      <c r="F398" t="s">
        <v>5596</v>
      </c>
      <c r="G398" t="s">
        <v>74</v>
      </c>
      <c r="H398" t="s">
        <v>74</v>
      </c>
      <c r="I398" t="s">
        <v>5597</v>
      </c>
      <c r="J398" t="s">
        <v>1613</v>
      </c>
      <c r="K398" t="s">
        <v>74</v>
      </c>
      <c r="L398" t="s">
        <v>74</v>
      </c>
      <c r="M398" t="s">
        <v>77</v>
      </c>
      <c r="N398" t="s">
        <v>123</v>
      </c>
      <c r="O398" t="s">
        <v>5309</v>
      </c>
      <c r="P398" t="s">
        <v>5310</v>
      </c>
      <c r="Q398" t="s">
        <v>3084</v>
      </c>
      <c r="R398" t="s">
        <v>74</v>
      </c>
      <c r="S398" t="s">
        <v>74</v>
      </c>
      <c r="T398" t="s">
        <v>5598</v>
      </c>
      <c r="U398" t="s">
        <v>5599</v>
      </c>
      <c r="V398" t="s">
        <v>5600</v>
      </c>
      <c r="W398" t="s">
        <v>5601</v>
      </c>
      <c r="X398" t="s">
        <v>5602</v>
      </c>
      <c r="Y398" t="s">
        <v>5603</v>
      </c>
      <c r="Z398" t="s">
        <v>5604</v>
      </c>
      <c r="AA398" t="s">
        <v>5605</v>
      </c>
      <c r="AB398" t="s">
        <v>5606</v>
      </c>
      <c r="AC398" t="s">
        <v>74</v>
      </c>
      <c r="AD398" t="s">
        <v>74</v>
      </c>
      <c r="AE398" t="s">
        <v>74</v>
      </c>
      <c r="AF398" t="s">
        <v>74</v>
      </c>
      <c r="AG398">
        <v>99</v>
      </c>
      <c r="AH398">
        <v>55</v>
      </c>
      <c r="AI398">
        <v>55</v>
      </c>
      <c r="AJ398">
        <v>1</v>
      </c>
      <c r="AK398">
        <v>22</v>
      </c>
      <c r="AL398" t="s">
        <v>1037</v>
      </c>
      <c r="AM398" t="s">
        <v>1038</v>
      </c>
      <c r="AN398" t="s">
        <v>1039</v>
      </c>
      <c r="AO398" t="s">
        <v>1623</v>
      </c>
      <c r="AP398" t="s">
        <v>74</v>
      </c>
      <c r="AQ398" t="s">
        <v>74</v>
      </c>
      <c r="AR398" t="s">
        <v>1625</v>
      </c>
      <c r="AS398" t="s">
        <v>1626</v>
      </c>
      <c r="AT398" t="s">
        <v>5013</v>
      </c>
      <c r="AU398">
        <v>1998</v>
      </c>
      <c r="AV398">
        <v>17</v>
      </c>
      <c r="AW398" t="s">
        <v>5317</v>
      </c>
      <c r="AX398" t="s">
        <v>74</v>
      </c>
      <c r="AY398" t="s">
        <v>74</v>
      </c>
      <c r="AZ398" t="s">
        <v>74</v>
      </c>
      <c r="BA398" t="s">
        <v>74</v>
      </c>
      <c r="BB398">
        <v>587</v>
      </c>
      <c r="BC398">
        <v>619</v>
      </c>
      <c r="BD398" t="s">
        <v>74</v>
      </c>
      <c r="BE398" t="s">
        <v>5607</v>
      </c>
      <c r="BF398" t="str">
        <f>HYPERLINK("http://dx.doi.org/10.1016/S0924-7963(98)00066-9","http://dx.doi.org/10.1016/S0924-7963(98)00066-9")</f>
        <v>http://dx.doi.org/10.1016/S0924-7963(98)00066-9</v>
      </c>
      <c r="BG398" t="s">
        <v>74</v>
      </c>
      <c r="BH398" t="s">
        <v>74</v>
      </c>
      <c r="BI398">
        <v>33</v>
      </c>
      <c r="BJ398" t="s">
        <v>1628</v>
      </c>
      <c r="BK398" t="s">
        <v>235</v>
      </c>
      <c r="BL398" t="s">
        <v>1629</v>
      </c>
      <c r="BM398" t="s">
        <v>5319</v>
      </c>
      <c r="BN398" t="s">
        <v>74</v>
      </c>
      <c r="BO398" t="s">
        <v>74</v>
      </c>
      <c r="BP398" t="s">
        <v>74</v>
      </c>
      <c r="BQ398" t="s">
        <v>74</v>
      </c>
      <c r="BR398" t="s">
        <v>98</v>
      </c>
      <c r="BS398" t="s">
        <v>5608</v>
      </c>
      <c r="BT398" t="str">
        <f>HYPERLINK("https%3A%2F%2Fwww.webofscience.com%2Fwos%2Fwoscc%2Ffull-record%2FWOS:000077463500040","View Full Record in Web of Science")</f>
        <v>View Full Record in Web of Science</v>
      </c>
    </row>
    <row r="399" spans="1:72" x14ac:dyDescent="0.15">
      <c r="A399" t="s">
        <v>72</v>
      </c>
      <c r="B399" t="s">
        <v>5609</v>
      </c>
      <c r="C399" t="s">
        <v>74</v>
      </c>
      <c r="D399" t="s">
        <v>74</v>
      </c>
      <c r="E399" t="s">
        <v>74</v>
      </c>
      <c r="F399" t="s">
        <v>5609</v>
      </c>
      <c r="G399" t="s">
        <v>74</v>
      </c>
      <c r="H399" t="s">
        <v>74</v>
      </c>
      <c r="I399" t="s">
        <v>5610</v>
      </c>
      <c r="J399" t="s">
        <v>5611</v>
      </c>
      <c r="K399" t="s">
        <v>74</v>
      </c>
      <c r="L399" t="s">
        <v>74</v>
      </c>
      <c r="M399" t="s">
        <v>77</v>
      </c>
      <c r="N399" t="s">
        <v>103</v>
      </c>
      <c r="O399" t="s">
        <v>74</v>
      </c>
      <c r="P399" t="s">
        <v>74</v>
      </c>
      <c r="Q399" t="s">
        <v>74</v>
      </c>
      <c r="R399" t="s">
        <v>74</v>
      </c>
      <c r="S399" t="s">
        <v>74</v>
      </c>
      <c r="T399" t="s">
        <v>74</v>
      </c>
      <c r="U399" t="s">
        <v>5612</v>
      </c>
      <c r="V399" t="s">
        <v>5613</v>
      </c>
      <c r="W399" t="s">
        <v>5614</v>
      </c>
      <c r="X399" t="s">
        <v>5615</v>
      </c>
      <c r="Y399" t="s">
        <v>5616</v>
      </c>
      <c r="Z399" t="s">
        <v>5617</v>
      </c>
      <c r="AA399" t="s">
        <v>5618</v>
      </c>
      <c r="AB399" t="s">
        <v>5619</v>
      </c>
      <c r="AC399" t="s">
        <v>74</v>
      </c>
      <c r="AD399" t="s">
        <v>74</v>
      </c>
      <c r="AE399" t="s">
        <v>74</v>
      </c>
      <c r="AF399" t="s">
        <v>74</v>
      </c>
      <c r="AG399">
        <v>32</v>
      </c>
      <c r="AH399">
        <v>55</v>
      </c>
      <c r="AI399">
        <v>57</v>
      </c>
      <c r="AJ399">
        <v>0</v>
      </c>
      <c r="AK399">
        <v>7</v>
      </c>
      <c r="AL399" t="s">
        <v>3813</v>
      </c>
      <c r="AM399" t="s">
        <v>967</v>
      </c>
      <c r="AN399" t="s">
        <v>3814</v>
      </c>
      <c r="AO399" t="s">
        <v>5620</v>
      </c>
      <c r="AP399" t="s">
        <v>5621</v>
      </c>
      <c r="AQ399" t="s">
        <v>74</v>
      </c>
      <c r="AR399" t="s">
        <v>5622</v>
      </c>
      <c r="AS399" t="s">
        <v>5623</v>
      </c>
      <c r="AT399" t="s">
        <v>5013</v>
      </c>
      <c r="AU399">
        <v>1998</v>
      </c>
      <c r="AV399">
        <v>61</v>
      </c>
      <c r="AW399">
        <v>11</v>
      </c>
      <c r="AX399" t="s">
        <v>74</v>
      </c>
      <c r="AY399" t="s">
        <v>74</v>
      </c>
      <c r="AZ399" t="s">
        <v>74</v>
      </c>
      <c r="BA399" t="s">
        <v>74</v>
      </c>
      <c r="BB399">
        <v>1319</v>
      </c>
      <c r="BC399">
        <v>1327</v>
      </c>
      <c r="BD399" t="s">
        <v>74</v>
      </c>
      <c r="BE399" t="s">
        <v>5624</v>
      </c>
      <c r="BF399" t="str">
        <f>HYPERLINK("http://dx.doi.org/10.1021/np970500e","http://dx.doi.org/10.1021/np970500e")</f>
        <v>http://dx.doi.org/10.1021/np970500e</v>
      </c>
      <c r="BG399" t="s">
        <v>74</v>
      </c>
      <c r="BH399" t="s">
        <v>74</v>
      </c>
      <c r="BI399">
        <v>9</v>
      </c>
      <c r="BJ399" t="s">
        <v>5625</v>
      </c>
      <c r="BK399" t="s">
        <v>5626</v>
      </c>
      <c r="BL399" t="s">
        <v>5627</v>
      </c>
      <c r="BM399" t="s">
        <v>5628</v>
      </c>
      <c r="BN399">
        <v>9834144</v>
      </c>
      <c r="BO399" t="s">
        <v>74</v>
      </c>
      <c r="BP399" t="s">
        <v>74</v>
      </c>
      <c r="BQ399" t="s">
        <v>74</v>
      </c>
      <c r="BR399" t="s">
        <v>98</v>
      </c>
      <c r="BS399" t="s">
        <v>5629</v>
      </c>
      <c r="BT399" t="str">
        <f>HYPERLINK("https%3A%2F%2Fwww.webofscience.com%2Fwos%2Fwoscc%2Ffull-record%2FWOS:000077358200001","View Full Record in Web of Science")</f>
        <v>View Full Record in Web of Science</v>
      </c>
    </row>
    <row r="400" spans="1:72" x14ac:dyDescent="0.15">
      <c r="A400" t="s">
        <v>72</v>
      </c>
      <c r="B400" t="s">
        <v>5630</v>
      </c>
      <c r="C400" t="s">
        <v>74</v>
      </c>
      <c r="D400" t="s">
        <v>74</v>
      </c>
      <c r="E400" t="s">
        <v>74</v>
      </c>
      <c r="F400" t="s">
        <v>5630</v>
      </c>
      <c r="G400" t="s">
        <v>74</v>
      </c>
      <c r="H400" t="s">
        <v>74</v>
      </c>
      <c r="I400" t="s">
        <v>5631</v>
      </c>
      <c r="J400" t="s">
        <v>5632</v>
      </c>
      <c r="K400" t="s">
        <v>74</v>
      </c>
      <c r="L400" t="s">
        <v>74</v>
      </c>
      <c r="M400" t="s">
        <v>77</v>
      </c>
      <c r="N400" t="s">
        <v>103</v>
      </c>
      <c r="O400" t="s">
        <v>74</v>
      </c>
      <c r="P400" t="s">
        <v>74</v>
      </c>
      <c r="Q400" t="s">
        <v>74</v>
      </c>
      <c r="R400" t="s">
        <v>74</v>
      </c>
      <c r="S400" t="s">
        <v>74</v>
      </c>
      <c r="T400" t="s">
        <v>5633</v>
      </c>
      <c r="U400" t="s">
        <v>5634</v>
      </c>
      <c r="V400" t="s">
        <v>5635</v>
      </c>
      <c r="W400" t="s">
        <v>5636</v>
      </c>
      <c r="X400" t="s">
        <v>5637</v>
      </c>
      <c r="Y400" t="s">
        <v>5638</v>
      </c>
      <c r="Z400" t="s">
        <v>74</v>
      </c>
      <c r="AA400" t="s">
        <v>74</v>
      </c>
      <c r="AB400" t="s">
        <v>74</v>
      </c>
      <c r="AC400" t="s">
        <v>74</v>
      </c>
      <c r="AD400" t="s">
        <v>74</v>
      </c>
      <c r="AE400" t="s">
        <v>74</v>
      </c>
      <c r="AF400" t="s">
        <v>74</v>
      </c>
      <c r="AG400">
        <v>31</v>
      </c>
      <c r="AH400">
        <v>10</v>
      </c>
      <c r="AI400">
        <v>12</v>
      </c>
      <c r="AJ400">
        <v>1</v>
      </c>
      <c r="AK400">
        <v>6</v>
      </c>
      <c r="AL400" t="s">
        <v>5639</v>
      </c>
      <c r="AM400" t="s">
        <v>4772</v>
      </c>
      <c r="AN400" t="s">
        <v>5640</v>
      </c>
      <c r="AO400" t="s">
        <v>5641</v>
      </c>
      <c r="AP400" t="s">
        <v>74</v>
      </c>
      <c r="AQ400" t="s">
        <v>74</v>
      </c>
      <c r="AR400" t="s">
        <v>5642</v>
      </c>
      <c r="AS400" t="s">
        <v>5643</v>
      </c>
      <c r="AT400" t="s">
        <v>5013</v>
      </c>
      <c r="AU400">
        <v>1998</v>
      </c>
      <c r="AV400">
        <v>153</v>
      </c>
      <c r="AW400" t="s">
        <v>5064</v>
      </c>
      <c r="AX400" t="s">
        <v>74</v>
      </c>
      <c r="AY400" t="s">
        <v>74</v>
      </c>
      <c r="AZ400" t="s">
        <v>74</v>
      </c>
      <c r="BA400" t="s">
        <v>74</v>
      </c>
      <c r="BB400">
        <v>603</v>
      </c>
      <c r="BC400">
        <v>609</v>
      </c>
      <c r="BD400" t="s">
        <v>74</v>
      </c>
      <c r="BE400" t="s">
        <v>74</v>
      </c>
      <c r="BF400" t="s">
        <v>74</v>
      </c>
      <c r="BG400" t="s">
        <v>74</v>
      </c>
      <c r="BH400" t="s">
        <v>74</v>
      </c>
      <c r="BI400">
        <v>7</v>
      </c>
      <c r="BJ400" t="s">
        <v>382</v>
      </c>
      <c r="BK400" t="s">
        <v>95</v>
      </c>
      <c r="BL400" t="s">
        <v>382</v>
      </c>
      <c r="BM400" t="s">
        <v>5644</v>
      </c>
      <c r="BN400" t="s">
        <v>74</v>
      </c>
      <c r="BO400" t="s">
        <v>74</v>
      </c>
      <c r="BP400" t="s">
        <v>74</v>
      </c>
      <c r="BQ400" t="s">
        <v>74</v>
      </c>
      <c r="BR400" t="s">
        <v>98</v>
      </c>
      <c r="BS400" t="s">
        <v>5645</v>
      </c>
      <c r="BT400" t="str">
        <f>HYPERLINK("https%3A%2F%2Fwww.webofscience.com%2Fwos%2Fwoscc%2Ffull-record%2FWOS:000077320800012","View Full Record in Web of Science")</f>
        <v>View Full Record in Web of Science</v>
      </c>
    </row>
    <row r="401" spans="1:72" x14ac:dyDescent="0.15">
      <c r="A401" t="s">
        <v>72</v>
      </c>
      <c r="B401" t="s">
        <v>5646</v>
      </c>
      <c r="C401" t="s">
        <v>74</v>
      </c>
      <c r="D401" t="s">
        <v>74</v>
      </c>
      <c r="E401" t="s">
        <v>74</v>
      </c>
      <c r="F401" t="s">
        <v>5646</v>
      </c>
      <c r="G401" t="s">
        <v>74</v>
      </c>
      <c r="H401" t="s">
        <v>74</v>
      </c>
      <c r="I401" t="s">
        <v>5647</v>
      </c>
      <c r="J401" t="s">
        <v>5648</v>
      </c>
      <c r="K401" t="s">
        <v>74</v>
      </c>
      <c r="L401" t="s">
        <v>74</v>
      </c>
      <c r="M401" t="s">
        <v>77</v>
      </c>
      <c r="N401" t="s">
        <v>103</v>
      </c>
      <c r="O401" t="s">
        <v>74</v>
      </c>
      <c r="P401" t="s">
        <v>74</v>
      </c>
      <c r="Q401" t="s">
        <v>74</v>
      </c>
      <c r="R401" t="s">
        <v>74</v>
      </c>
      <c r="S401" t="s">
        <v>74</v>
      </c>
      <c r="T401" t="s">
        <v>74</v>
      </c>
      <c r="U401" t="s">
        <v>5649</v>
      </c>
      <c r="V401" t="s">
        <v>5650</v>
      </c>
      <c r="W401" t="s">
        <v>1437</v>
      </c>
      <c r="X401" t="s">
        <v>628</v>
      </c>
      <c r="Y401" t="s">
        <v>5651</v>
      </c>
      <c r="Z401" t="s">
        <v>74</v>
      </c>
      <c r="AA401" t="s">
        <v>74</v>
      </c>
      <c r="AB401" t="s">
        <v>74</v>
      </c>
      <c r="AC401" t="s">
        <v>74</v>
      </c>
      <c r="AD401" t="s">
        <v>74</v>
      </c>
      <c r="AE401" t="s">
        <v>74</v>
      </c>
      <c r="AF401" t="s">
        <v>74</v>
      </c>
      <c r="AG401">
        <v>50</v>
      </c>
      <c r="AH401">
        <v>53</v>
      </c>
      <c r="AI401">
        <v>58</v>
      </c>
      <c r="AJ401">
        <v>0</v>
      </c>
      <c r="AK401">
        <v>10</v>
      </c>
      <c r="AL401" t="s">
        <v>445</v>
      </c>
      <c r="AM401" t="s">
        <v>229</v>
      </c>
      <c r="AN401" t="s">
        <v>446</v>
      </c>
      <c r="AO401" t="s">
        <v>5652</v>
      </c>
      <c r="AP401" t="s">
        <v>74</v>
      </c>
      <c r="AQ401" t="s">
        <v>74</v>
      </c>
      <c r="AR401" t="s">
        <v>5653</v>
      </c>
      <c r="AS401" t="s">
        <v>5654</v>
      </c>
      <c r="AT401" t="s">
        <v>5013</v>
      </c>
      <c r="AU401">
        <v>1998</v>
      </c>
      <c r="AV401">
        <v>11</v>
      </c>
      <c r="AW401">
        <v>6</v>
      </c>
      <c r="AX401" t="s">
        <v>74</v>
      </c>
      <c r="AY401" t="s">
        <v>74</v>
      </c>
      <c r="AZ401" t="s">
        <v>74</v>
      </c>
      <c r="BA401" t="s">
        <v>74</v>
      </c>
      <c r="BB401">
        <v>571</v>
      </c>
      <c r="BC401">
        <v>579</v>
      </c>
      <c r="BD401" t="s">
        <v>74</v>
      </c>
      <c r="BE401" t="s">
        <v>5655</v>
      </c>
      <c r="BF401" t="str">
        <f>HYPERLINK("http://dx.doi.org/10.1016/S0895-9811(98)00035-2","http://dx.doi.org/10.1016/S0895-9811(98)00035-2")</f>
        <v>http://dx.doi.org/10.1016/S0895-9811(98)00035-2</v>
      </c>
      <c r="BG401" t="s">
        <v>74</v>
      </c>
      <c r="BH401" t="s">
        <v>74</v>
      </c>
      <c r="BI401">
        <v>9</v>
      </c>
      <c r="BJ401" t="s">
        <v>192</v>
      </c>
      <c r="BK401" t="s">
        <v>95</v>
      </c>
      <c r="BL401" t="s">
        <v>193</v>
      </c>
      <c r="BM401" t="s">
        <v>5656</v>
      </c>
      <c r="BN401" t="s">
        <v>74</v>
      </c>
      <c r="BO401" t="s">
        <v>74</v>
      </c>
      <c r="BP401" t="s">
        <v>74</v>
      </c>
      <c r="BQ401" t="s">
        <v>74</v>
      </c>
      <c r="BR401" t="s">
        <v>98</v>
      </c>
      <c r="BS401" t="s">
        <v>5657</v>
      </c>
      <c r="BT401" t="str">
        <f>HYPERLINK("https%3A%2F%2Fwww.webofscience.com%2Fwos%2Fwoscc%2Ffull-record%2FWOS:000078648800004","View Full Record in Web of Science")</f>
        <v>View Full Record in Web of Science</v>
      </c>
    </row>
    <row r="402" spans="1:72" x14ac:dyDescent="0.15">
      <c r="A402" t="s">
        <v>72</v>
      </c>
      <c r="B402" t="s">
        <v>5658</v>
      </c>
      <c r="C402" t="s">
        <v>74</v>
      </c>
      <c r="D402" t="s">
        <v>74</v>
      </c>
      <c r="E402" t="s">
        <v>74</v>
      </c>
      <c r="F402" t="s">
        <v>5658</v>
      </c>
      <c r="G402" t="s">
        <v>74</v>
      </c>
      <c r="H402" t="s">
        <v>74</v>
      </c>
      <c r="I402" t="s">
        <v>5659</v>
      </c>
      <c r="J402" t="s">
        <v>1688</v>
      </c>
      <c r="K402" t="s">
        <v>74</v>
      </c>
      <c r="L402" t="s">
        <v>74</v>
      </c>
      <c r="M402" t="s">
        <v>77</v>
      </c>
      <c r="N402" t="s">
        <v>103</v>
      </c>
      <c r="O402" t="s">
        <v>74</v>
      </c>
      <c r="P402" t="s">
        <v>74</v>
      </c>
      <c r="Q402" t="s">
        <v>74</v>
      </c>
      <c r="R402" t="s">
        <v>74</v>
      </c>
      <c r="S402" t="s">
        <v>74</v>
      </c>
      <c r="T402" t="s">
        <v>5660</v>
      </c>
      <c r="U402" t="s">
        <v>5661</v>
      </c>
      <c r="V402" t="s">
        <v>5662</v>
      </c>
      <c r="W402" t="s">
        <v>1437</v>
      </c>
      <c r="X402" t="s">
        <v>628</v>
      </c>
      <c r="Y402" t="s">
        <v>5663</v>
      </c>
      <c r="Z402" t="s">
        <v>74</v>
      </c>
      <c r="AA402" t="s">
        <v>74</v>
      </c>
      <c r="AB402" t="s">
        <v>74</v>
      </c>
      <c r="AC402" t="s">
        <v>74</v>
      </c>
      <c r="AD402" t="s">
        <v>74</v>
      </c>
      <c r="AE402" t="s">
        <v>74</v>
      </c>
      <c r="AF402" t="s">
        <v>74</v>
      </c>
      <c r="AG402">
        <v>60</v>
      </c>
      <c r="AH402">
        <v>39</v>
      </c>
      <c r="AI402">
        <v>41</v>
      </c>
      <c r="AJ402">
        <v>0</v>
      </c>
      <c r="AK402">
        <v>7</v>
      </c>
      <c r="AL402" t="s">
        <v>1697</v>
      </c>
      <c r="AM402" t="s">
        <v>1698</v>
      </c>
      <c r="AN402" t="s">
        <v>5664</v>
      </c>
      <c r="AO402" t="s">
        <v>1700</v>
      </c>
      <c r="AP402" t="s">
        <v>74</v>
      </c>
      <c r="AQ402" t="s">
        <v>74</v>
      </c>
      <c r="AR402" t="s">
        <v>1702</v>
      </c>
      <c r="AS402" t="s">
        <v>1703</v>
      </c>
      <c r="AT402" t="s">
        <v>5013</v>
      </c>
      <c r="AU402">
        <v>1998</v>
      </c>
      <c r="AV402">
        <v>155</v>
      </c>
      <c r="AW402" t="s">
        <v>74</v>
      </c>
      <c r="AX402">
        <v>6</v>
      </c>
      <c r="AY402" t="s">
        <v>74</v>
      </c>
      <c r="AZ402" t="s">
        <v>74</v>
      </c>
      <c r="BA402" t="s">
        <v>74</v>
      </c>
      <c r="BB402">
        <v>941</v>
      </c>
      <c r="BC402" t="s">
        <v>3164</v>
      </c>
      <c r="BD402" t="s">
        <v>74</v>
      </c>
      <c r="BE402" t="s">
        <v>5665</v>
      </c>
      <c r="BF402" t="str">
        <f>HYPERLINK("http://dx.doi.org/10.1144/gsjgs.155.6.0941","http://dx.doi.org/10.1144/gsjgs.155.6.0941")</f>
        <v>http://dx.doi.org/10.1144/gsjgs.155.6.0941</v>
      </c>
      <c r="BG402" t="s">
        <v>74</v>
      </c>
      <c r="BH402" t="s">
        <v>74</v>
      </c>
      <c r="BI402">
        <v>22</v>
      </c>
      <c r="BJ402" t="s">
        <v>192</v>
      </c>
      <c r="BK402" t="s">
        <v>95</v>
      </c>
      <c r="BL402" t="s">
        <v>193</v>
      </c>
      <c r="BM402" t="s">
        <v>5666</v>
      </c>
      <c r="BN402" t="s">
        <v>74</v>
      </c>
      <c r="BO402" t="s">
        <v>74</v>
      </c>
      <c r="BP402" t="s">
        <v>74</v>
      </c>
      <c r="BQ402" t="s">
        <v>74</v>
      </c>
      <c r="BR402" t="s">
        <v>98</v>
      </c>
      <c r="BS402" t="s">
        <v>5667</v>
      </c>
      <c r="BT402" t="str">
        <f>HYPERLINK("https%3A%2F%2Fwww.webofscience.com%2Fwos%2Fwoscc%2Ffull-record%2FWOS:000076638400005","View Full Record in Web of Science")</f>
        <v>View Full Record in Web of Science</v>
      </c>
    </row>
    <row r="403" spans="1:72" x14ac:dyDescent="0.15">
      <c r="A403" t="s">
        <v>72</v>
      </c>
      <c r="B403" t="s">
        <v>5668</v>
      </c>
      <c r="C403" t="s">
        <v>74</v>
      </c>
      <c r="D403" t="s">
        <v>74</v>
      </c>
      <c r="E403" t="s">
        <v>74</v>
      </c>
      <c r="F403" t="s">
        <v>5668</v>
      </c>
      <c r="G403" t="s">
        <v>74</v>
      </c>
      <c r="H403" t="s">
        <v>74</v>
      </c>
      <c r="I403" t="s">
        <v>5669</v>
      </c>
      <c r="J403" t="s">
        <v>5670</v>
      </c>
      <c r="K403" t="s">
        <v>74</v>
      </c>
      <c r="L403" t="s">
        <v>74</v>
      </c>
      <c r="M403" t="s">
        <v>77</v>
      </c>
      <c r="N403" t="s">
        <v>103</v>
      </c>
      <c r="O403" t="s">
        <v>74</v>
      </c>
      <c r="P403" t="s">
        <v>74</v>
      </c>
      <c r="Q403" t="s">
        <v>74</v>
      </c>
      <c r="R403" t="s">
        <v>74</v>
      </c>
      <c r="S403" t="s">
        <v>74</v>
      </c>
      <c r="T403" t="s">
        <v>5671</v>
      </c>
      <c r="U403" t="s">
        <v>74</v>
      </c>
      <c r="V403" t="s">
        <v>5672</v>
      </c>
      <c r="W403" t="s">
        <v>5673</v>
      </c>
      <c r="X403" t="s">
        <v>5674</v>
      </c>
      <c r="Y403" t="s">
        <v>5675</v>
      </c>
      <c r="Z403" t="s">
        <v>74</v>
      </c>
      <c r="AA403" t="s">
        <v>74</v>
      </c>
      <c r="AB403" t="s">
        <v>74</v>
      </c>
      <c r="AC403" t="s">
        <v>74</v>
      </c>
      <c r="AD403" t="s">
        <v>74</v>
      </c>
      <c r="AE403" t="s">
        <v>74</v>
      </c>
      <c r="AF403" t="s">
        <v>74</v>
      </c>
      <c r="AG403">
        <v>15</v>
      </c>
      <c r="AH403">
        <v>13</v>
      </c>
      <c r="AI403">
        <v>17</v>
      </c>
      <c r="AJ403">
        <v>0</v>
      </c>
      <c r="AK403">
        <v>4</v>
      </c>
      <c r="AL403" t="s">
        <v>5676</v>
      </c>
      <c r="AM403" t="s">
        <v>4702</v>
      </c>
      <c r="AN403" t="s">
        <v>5677</v>
      </c>
      <c r="AO403" t="s">
        <v>5678</v>
      </c>
      <c r="AP403" t="s">
        <v>74</v>
      </c>
      <c r="AQ403" t="s">
        <v>74</v>
      </c>
      <c r="AR403" t="s">
        <v>5679</v>
      </c>
      <c r="AS403" t="s">
        <v>5680</v>
      </c>
      <c r="AT403" t="s">
        <v>5013</v>
      </c>
      <c r="AU403">
        <v>1998</v>
      </c>
      <c r="AV403">
        <v>52</v>
      </c>
      <c r="AW403">
        <v>5</v>
      </c>
      <c r="AX403" t="s">
        <v>74</v>
      </c>
      <c r="AY403" t="s">
        <v>74</v>
      </c>
      <c r="AZ403" t="s">
        <v>74</v>
      </c>
      <c r="BA403" t="s">
        <v>74</v>
      </c>
      <c r="BB403">
        <v>557</v>
      </c>
      <c r="BC403">
        <v>568</v>
      </c>
      <c r="BD403" t="s">
        <v>74</v>
      </c>
      <c r="BE403" t="s">
        <v>74</v>
      </c>
      <c r="BF403" t="s">
        <v>74</v>
      </c>
      <c r="BG403" t="s">
        <v>74</v>
      </c>
      <c r="BH403" t="s">
        <v>74</v>
      </c>
      <c r="BI403">
        <v>12</v>
      </c>
      <c r="BJ403" t="s">
        <v>192</v>
      </c>
      <c r="BK403" t="s">
        <v>95</v>
      </c>
      <c r="BL403" t="s">
        <v>193</v>
      </c>
      <c r="BM403" t="s">
        <v>5681</v>
      </c>
      <c r="BN403" t="s">
        <v>74</v>
      </c>
      <c r="BO403" t="s">
        <v>74</v>
      </c>
      <c r="BP403" t="s">
        <v>74</v>
      </c>
      <c r="BQ403" t="s">
        <v>74</v>
      </c>
      <c r="BR403" t="s">
        <v>98</v>
      </c>
      <c r="BS403" t="s">
        <v>5682</v>
      </c>
      <c r="BT403" t="str">
        <f>HYPERLINK("https%3A%2F%2Fwww.webofscience.com%2Fwos%2Fwoscc%2Ffull-record%2FWOS:000076899200008","View Full Record in Web of Science")</f>
        <v>View Full Record in Web of Science</v>
      </c>
    </row>
    <row r="404" spans="1:72" x14ac:dyDescent="0.15">
      <c r="A404" t="s">
        <v>72</v>
      </c>
      <c r="B404" t="s">
        <v>5683</v>
      </c>
      <c r="C404" t="s">
        <v>74</v>
      </c>
      <c r="D404" t="s">
        <v>74</v>
      </c>
      <c r="E404" t="s">
        <v>74</v>
      </c>
      <c r="F404" t="s">
        <v>5683</v>
      </c>
      <c r="G404" t="s">
        <v>74</v>
      </c>
      <c r="H404" t="s">
        <v>74</v>
      </c>
      <c r="I404" t="s">
        <v>5684</v>
      </c>
      <c r="J404" t="s">
        <v>1771</v>
      </c>
      <c r="K404" t="s">
        <v>74</v>
      </c>
      <c r="L404" t="s">
        <v>74</v>
      </c>
      <c r="M404" t="s">
        <v>77</v>
      </c>
      <c r="N404" t="s">
        <v>103</v>
      </c>
      <c r="O404" t="s">
        <v>74</v>
      </c>
      <c r="P404" t="s">
        <v>74</v>
      </c>
      <c r="Q404" t="s">
        <v>74</v>
      </c>
      <c r="R404" t="s">
        <v>74</v>
      </c>
      <c r="S404" t="s">
        <v>74</v>
      </c>
      <c r="T404" t="s">
        <v>74</v>
      </c>
      <c r="U404" t="s">
        <v>5685</v>
      </c>
      <c r="V404" t="s">
        <v>5686</v>
      </c>
      <c r="W404" t="s">
        <v>5687</v>
      </c>
      <c r="X404" t="s">
        <v>5688</v>
      </c>
      <c r="Y404" t="s">
        <v>5689</v>
      </c>
      <c r="Z404" t="s">
        <v>74</v>
      </c>
      <c r="AA404" t="s">
        <v>5690</v>
      </c>
      <c r="AB404" t="s">
        <v>5691</v>
      </c>
      <c r="AC404" t="s">
        <v>74</v>
      </c>
      <c r="AD404" t="s">
        <v>74</v>
      </c>
      <c r="AE404" t="s">
        <v>74</v>
      </c>
      <c r="AF404" t="s">
        <v>74</v>
      </c>
      <c r="AG404">
        <v>41</v>
      </c>
      <c r="AH404">
        <v>82</v>
      </c>
      <c r="AI404">
        <v>97</v>
      </c>
      <c r="AJ404">
        <v>2</v>
      </c>
      <c r="AK404">
        <v>18</v>
      </c>
      <c r="AL404" t="s">
        <v>4482</v>
      </c>
      <c r="AM404" t="s">
        <v>4483</v>
      </c>
      <c r="AN404" t="s">
        <v>4484</v>
      </c>
      <c r="AO404" t="s">
        <v>1778</v>
      </c>
      <c r="AP404" t="s">
        <v>74</v>
      </c>
      <c r="AQ404" t="s">
        <v>74</v>
      </c>
      <c r="AR404" t="s">
        <v>1780</v>
      </c>
      <c r="AS404" t="s">
        <v>1781</v>
      </c>
      <c r="AT404" t="s">
        <v>5013</v>
      </c>
      <c r="AU404">
        <v>1998</v>
      </c>
      <c r="AV404">
        <v>43</v>
      </c>
      <c r="AW404">
        <v>7</v>
      </c>
      <c r="AX404" t="s">
        <v>74</v>
      </c>
      <c r="AY404" t="s">
        <v>74</v>
      </c>
      <c r="AZ404" t="s">
        <v>74</v>
      </c>
      <c r="BA404" t="s">
        <v>74</v>
      </c>
      <c r="BB404">
        <v>1754</v>
      </c>
      <c r="BC404">
        <v>1761</v>
      </c>
      <c r="BD404" t="s">
        <v>74</v>
      </c>
      <c r="BE404" t="s">
        <v>5692</v>
      </c>
      <c r="BF404" t="str">
        <f>HYPERLINK("http://dx.doi.org/10.4319/lo.1998.43.7.1754","http://dx.doi.org/10.4319/lo.1998.43.7.1754")</f>
        <v>http://dx.doi.org/10.4319/lo.1998.43.7.1754</v>
      </c>
      <c r="BG404" t="s">
        <v>74</v>
      </c>
      <c r="BH404" t="s">
        <v>74</v>
      </c>
      <c r="BI404">
        <v>8</v>
      </c>
      <c r="BJ404" t="s">
        <v>1783</v>
      </c>
      <c r="BK404" t="s">
        <v>95</v>
      </c>
      <c r="BL404" t="s">
        <v>1128</v>
      </c>
      <c r="BM404" t="s">
        <v>5693</v>
      </c>
      <c r="BN404">
        <v>11543124</v>
      </c>
      <c r="BO404" t="s">
        <v>1089</v>
      </c>
      <c r="BP404" t="s">
        <v>74</v>
      </c>
      <c r="BQ404" t="s">
        <v>74</v>
      </c>
      <c r="BR404" t="s">
        <v>98</v>
      </c>
      <c r="BS404" t="s">
        <v>5694</v>
      </c>
      <c r="BT404" t="str">
        <f>HYPERLINK("https%3A%2F%2Fwww.webofscience.com%2Fwos%2Fwoscc%2Ffull-record%2FWOS:000077285000035","View Full Record in Web of Science")</f>
        <v>View Full Record in Web of Science</v>
      </c>
    </row>
    <row r="405" spans="1:72" x14ac:dyDescent="0.15">
      <c r="A405" t="s">
        <v>72</v>
      </c>
      <c r="B405" t="s">
        <v>5695</v>
      </c>
      <c r="C405" t="s">
        <v>74</v>
      </c>
      <c r="D405" t="s">
        <v>74</v>
      </c>
      <c r="E405" t="s">
        <v>74</v>
      </c>
      <c r="F405" t="s">
        <v>5695</v>
      </c>
      <c r="G405" t="s">
        <v>74</v>
      </c>
      <c r="H405" t="s">
        <v>74</v>
      </c>
      <c r="I405" t="s">
        <v>5696</v>
      </c>
      <c r="J405" t="s">
        <v>5697</v>
      </c>
      <c r="K405" t="s">
        <v>74</v>
      </c>
      <c r="L405" t="s">
        <v>74</v>
      </c>
      <c r="M405" t="s">
        <v>77</v>
      </c>
      <c r="N405" t="s">
        <v>103</v>
      </c>
      <c r="O405" t="s">
        <v>74</v>
      </c>
      <c r="P405" t="s">
        <v>74</v>
      </c>
      <c r="Q405" t="s">
        <v>74</v>
      </c>
      <c r="R405" t="s">
        <v>74</v>
      </c>
      <c r="S405" t="s">
        <v>74</v>
      </c>
      <c r="T405" t="s">
        <v>5698</v>
      </c>
      <c r="U405" t="s">
        <v>5699</v>
      </c>
      <c r="V405" t="s">
        <v>5700</v>
      </c>
      <c r="W405" t="s">
        <v>5701</v>
      </c>
      <c r="X405" t="s">
        <v>5702</v>
      </c>
      <c r="Y405" t="s">
        <v>5703</v>
      </c>
      <c r="Z405" t="s">
        <v>5704</v>
      </c>
      <c r="AA405" t="s">
        <v>5705</v>
      </c>
      <c r="AB405" t="s">
        <v>74</v>
      </c>
      <c r="AC405" t="s">
        <v>74</v>
      </c>
      <c r="AD405" t="s">
        <v>74</v>
      </c>
      <c r="AE405" t="s">
        <v>74</v>
      </c>
      <c r="AF405" t="s">
        <v>74</v>
      </c>
      <c r="AG405">
        <v>86</v>
      </c>
      <c r="AH405">
        <v>49</v>
      </c>
      <c r="AI405">
        <v>49</v>
      </c>
      <c r="AJ405">
        <v>1</v>
      </c>
      <c r="AK405">
        <v>18</v>
      </c>
      <c r="AL405" t="s">
        <v>1037</v>
      </c>
      <c r="AM405" t="s">
        <v>1038</v>
      </c>
      <c r="AN405" t="s">
        <v>1039</v>
      </c>
      <c r="AO405" t="s">
        <v>5706</v>
      </c>
      <c r="AP405" t="s">
        <v>5707</v>
      </c>
      <c r="AQ405" t="s">
        <v>74</v>
      </c>
      <c r="AR405" t="s">
        <v>5708</v>
      </c>
      <c r="AS405" t="s">
        <v>5709</v>
      </c>
      <c r="AT405" t="s">
        <v>5013</v>
      </c>
      <c r="AU405">
        <v>1998</v>
      </c>
      <c r="AV405">
        <v>62</v>
      </c>
      <c r="AW405" t="s">
        <v>1282</v>
      </c>
      <c r="AX405" t="s">
        <v>74</v>
      </c>
      <c r="AY405" t="s">
        <v>74</v>
      </c>
      <c r="AZ405" t="s">
        <v>74</v>
      </c>
      <c r="BA405" t="s">
        <v>74</v>
      </c>
      <c r="BB405">
        <v>259</v>
      </c>
      <c r="BC405">
        <v>286</v>
      </c>
      <c r="BD405" t="s">
        <v>74</v>
      </c>
      <c r="BE405" t="s">
        <v>5710</v>
      </c>
      <c r="BF405" t="str">
        <f>HYPERLINK("http://dx.doi.org/10.1016/S0304-4203(98)00045-0","http://dx.doi.org/10.1016/S0304-4203(98)00045-0")</f>
        <v>http://dx.doi.org/10.1016/S0304-4203(98)00045-0</v>
      </c>
      <c r="BG405" t="s">
        <v>74</v>
      </c>
      <c r="BH405" t="s">
        <v>74</v>
      </c>
      <c r="BI405">
        <v>28</v>
      </c>
      <c r="BJ405" t="s">
        <v>5711</v>
      </c>
      <c r="BK405" t="s">
        <v>95</v>
      </c>
      <c r="BL405" t="s">
        <v>5712</v>
      </c>
      <c r="BM405" t="s">
        <v>5713</v>
      </c>
      <c r="BN405" t="s">
        <v>74</v>
      </c>
      <c r="BO405" t="s">
        <v>1005</v>
      </c>
      <c r="BP405" t="s">
        <v>74</v>
      </c>
      <c r="BQ405" t="s">
        <v>74</v>
      </c>
      <c r="BR405" t="s">
        <v>98</v>
      </c>
      <c r="BS405" t="s">
        <v>5714</v>
      </c>
      <c r="BT405" t="str">
        <f>HYPERLINK("https%3A%2F%2Fwww.webofscience.com%2Fwos%2Fwoscc%2Ffull-record%2FWOS:000075600600006","View Full Record in Web of Science")</f>
        <v>View Full Record in Web of Science</v>
      </c>
    </row>
    <row r="406" spans="1:72" x14ac:dyDescent="0.15">
      <c r="A406" t="s">
        <v>72</v>
      </c>
      <c r="B406" t="s">
        <v>5715</v>
      </c>
      <c r="C406" t="s">
        <v>74</v>
      </c>
      <c r="D406" t="s">
        <v>74</v>
      </c>
      <c r="E406" t="s">
        <v>74</v>
      </c>
      <c r="F406" t="s">
        <v>5715</v>
      </c>
      <c r="G406" t="s">
        <v>74</v>
      </c>
      <c r="H406" t="s">
        <v>74</v>
      </c>
      <c r="I406" t="s">
        <v>5716</v>
      </c>
      <c r="J406" t="s">
        <v>2236</v>
      </c>
      <c r="K406" t="s">
        <v>74</v>
      </c>
      <c r="L406" t="s">
        <v>74</v>
      </c>
      <c r="M406" t="s">
        <v>77</v>
      </c>
      <c r="N406" t="s">
        <v>103</v>
      </c>
      <c r="O406" t="s">
        <v>74</v>
      </c>
      <c r="P406" t="s">
        <v>74</v>
      </c>
      <c r="Q406" t="s">
        <v>74</v>
      </c>
      <c r="R406" t="s">
        <v>74</v>
      </c>
      <c r="S406" t="s">
        <v>74</v>
      </c>
      <c r="T406" t="s">
        <v>74</v>
      </c>
      <c r="U406" t="s">
        <v>74</v>
      </c>
      <c r="V406" t="s">
        <v>5717</v>
      </c>
      <c r="W406" t="s">
        <v>5718</v>
      </c>
      <c r="X406" t="s">
        <v>5719</v>
      </c>
      <c r="Y406" t="s">
        <v>5720</v>
      </c>
      <c r="Z406" t="s">
        <v>74</v>
      </c>
      <c r="AA406" t="s">
        <v>74</v>
      </c>
      <c r="AB406" t="s">
        <v>74</v>
      </c>
      <c r="AC406" t="s">
        <v>74</v>
      </c>
      <c r="AD406" t="s">
        <v>74</v>
      </c>
      <c r="AE406" t="s">
        <v>74</v>
      </c>
      <c r="AF406" t="s">
        <v>74</v>
      </c>
      <c r="AG406">
        <v>32</v>
      </c>
      <c r="AH406">
        <v>40</v>
      </c>
      <c r="AI406">
        <v>41</v>
      </c>
      <c r="AJ406">
        <v>0</v>
      </c>
      <c r="AK406">
        <v>4</v>
      </c>
      <c r="AL406" t="s">
        <v>2242</v>
      </c>
      <c r="AM406" t="s">
        <v>2243</v>
      </c>
      <c r="AN406" t="s">
        <v>2244</v>
      </c>
      <c r="AO406" t="s">
        <v>2245</v>
      </c>
      <c r="AP406" t="s">
        <v>74</v>
      </c>
      <c r="AQ406" t="s">
        <v>74</v>
      </c>
      <c r="AR406" t="s">
        <v>2246</v>
      </c>
      <c r="AS406" t="s">
        <v>2247</v>
      </c>
      <c r="AT406" t="s">
        <v>5013</v>
      </c>
      <c r="AU406">
        <v>1998</v>
      </c>
      <c r="AV406">
        <v>33</v>
      </c>
      <c r="AW406">
        <v>6</v>
      </c>
      <c r="AX406" t="s">
        <v>74</v>
      </c>
      <c r="AY406" t="s">
        <v>74</v>
      </c>
      <c r="AZ406" t="s">
        <v>74</v>
      </c>
      <c r="BA406" t="s">
        <v>74</v>
      </c>
      <c r="BB406">
        <v>1297</v>
      </c>
      <c r="BC406">
        <v>1302</v>
      </c>
      <c r="BD406" t="s">
        <v>74</v>
      </c>
      <c r="BE406" t="s">
        <v>5721</v>
      </c>
      <c r="BF406" t="str">
        <f>HYPERLINK("http://dx.doi.org/10.1111/j.1945-5100.1998.tb01313.x","http://dx.doi.org/10.1111/j.1945-5100.1998.tb01313.x")</f>
        <v>http://dx.doi.org/10.1111/j.1945-5100.1998.tb01313.x</v>
      </c>
      <c r="BG406" t="s">
        <v>74</v>
      </c>
      <c r="BH406" t="s">
        <v>74</v>
      </c>
      <c r="BI406">
        <v>6</v>
      </c>
      <c r="BJ406" t="s">
        <v>303</v>
      </c>
      <c r="BK406" t="s">
        <v>95</v>
      </c>
      <c r="BL406" t="s">
        <v>303</v>
      </c>
      <c r="BM406" t="s">
        <v>5722</v>
      </c>
      <c r="BN406" t="s">
        <v>74</v>
      </c>
      <c r="BO406" t="s">
        <v>1089</v>
      </c>
      <c r="BP406" t="s">
        <v>74</v>
      </c>
      <c r="BQ406" t="s">
        <v>74</v>
      </c>
      <c r="BR406" t="s">
        <v>98</v>
      </c>
      <c r="BS406" t="s">
        <v>5723</v>
      </c>
      <c r="BT406" t="str">
        <f>HYPERLINK("https%3A%2F%2Fwww.webofscience.com%2Fwos%2Fwoscc%2Ffull-record%2FWOS:000077526400009","View Full Record in Web of Science")</f>
        <v>View Full Record in Web of Science</v>
      </c>
    </row>
    <row r="407" spans="1:72" x14ac:dyDescent="0.15">
      <c r="A407" t="s">
        <v>72</v>
      </c>
      <c r="B407" t="s">
        <v>5724</v>
      </c>
      <c r="C407" t="s">
        <v>74</v>
      </c>
      <c r="D407" t="s">
        <v>74</v>
      </c>
      <c r="E407" t="s">
        <v>74</v>
      </c>
      <c r="F407" t="s">
        <v>5724</v>
      </c>
      <c r="G407" t="s">
        <v>74</v>
      </c>
      <c r="H407" t="s">
        <v>74</v>
      </c>
      <c r="I407" t="s">
        <v>5725</v>
      </c>
      <c r="J407" t="s">
        <v>5726</v>
      </c>
      <c r="K407" t="s">
        <v>74</v>
      </c>
      <c r="L407" t="s">
        <v>74</v>
      </c>
      <c r="M407" t="s">
        <v>77</v>
      </c>
      <c r="N407" t="s">
        <v>103</v>
      </c>
      <c r="O407" t="s">
        <v>74</v>
      </c>
      <c r="P407" t="s">
        <v>74</v>
      </c>
      <c r="Q407" t="s">
        <v>74</v>
      </c>
      <c r="R407" t="s">
        <v>74</v>
      </c>
      <c r="S407" t="s">
        <v>74</v>
      </c>
      <c r="T407" t="s">
        <v>74</v>
      </c>
      <c r="U407" t="s">
        <v>5727</v>
      </c>
      <c r="V407" t="s">
        <v>5728</v>
      </c>
      <c r="W407" t="s">
        <v>5729</v>
      </c>
      <c r="X407" t="s">
        <v>5730</v>
      </c>
      <c r="Y407" t="s">
        <v>5731</v>
      </c>
      <c r="Z407" t="s">
        <v>74</v>
      </c>
      <c r="AA407" t="s">
        <v>5732</v>
      </c>
      <c r="AB407" t="s">
        <v>5733</v>
      </c>
      <c r="AC407" t="s">
        <v>74</v>
      </c>
      <c r="AD407" t="s">
        <v>74</v>
      </c>
      <c r="AE407" t="s">
        <v>74</v>
      </c>
      <c r="AF407" t="s">
        <v>74</v>
      </c>
      <c r="AG407">
        <v>26</v>
      </c>
      <c r="AH407">
        <v>101</v>
      </c>
      <c r="AI407">
        <v>114</v>
      </c>
      <c r="AJ407">
        <v>1</v>
      </c>
      <c r="AK407">
        <v>30</v>
      </c>
      <c r="AL407" t="s">
        <v>887</v>
      </c>
      <c r="AM407" t="s">
        <v>278</v>
      </c>
      <c r="AN407" t="s">
        <v>888</v>
      </c>
      <c r="AO407" t="s">
        <v>5734</v>
      </c>
      <c r="AP407" t="s">
        <v>74</v>
      </c>
      <c r="AQ407" t="s">
        <v>74</v>
      </c>
      <c r="AR407" t="s">
        <v>5735</v>
      </c>
      <c r="AS407" t="s">
        <v>5736</v>
      </c>
      <c r="AT407" t="s">
        <v>5063</v>
      </c>
      <c r="AU407">
        <v>1998</v>
      </c>
      <c r="AV407">
        <v>36</v>
      </c>
      <c r="AW407">
        <v>3</v>
      </c>
      <c r="AX407" t="s">
        <v>74</v>
      </c>
      <c r="AY407" t="s">
        <v>74</v>
      </c>
      <c r="AZ407" t="s">
        <v>74</v>
      </c>
      <c r="BA407" t="s">
        <v>74</v>
      </c>
      <c r="BB407">
        <v>231</v>
      </c>
      <c r="BC407">
        <v>238</v>
      </c>
      <c r="BD407" t="s">
        <v>74</v>
      </c>
      <c r="BE407" t="s">
        <v>5737</v>
      </c>
      <c r="BF407" t="str">
        <f>HYPERLINK("http://dx.doi.org/10.1007/s002489900110","http://dx.doi.org/10.1007/s002489900110")</f>
        <v>http://dx.doi.org/10.1007/s002489900110</v>
      </c>
      <c r="BG407" t="s">
        <v>74</v>
      </c>
      <c r="BH407" t="s">
        <v>74</v>
      </c>
      <c r="BI407">
        <v>8</v>
      </c>
      <c r="BJ407" t="s">
        <v>4796</v>
      </c>
      <c r="BK407" t="s">
        <v>95</v>
      </c>
      <c r="BL407" t="s">
        <v>4797</v>
      </c>
      <c r="BM407" t="s">
        <v>5738</v>
      </c>
      <c r="BN407">
        <v>9852503</v>
      </c>
      <c r="BO407" t="s">
        <v>74</v>
      </c>
      <c r="BP407" t="s">
        <v>74</v>
      </c>
      <c r="BQ407" t="s">
        <v>74</v>
      </c>
      <c r="BR407" t="s">
        <v>98</v>
      </c>
      <c r="BS407" t="s">
        <v>5739</v>
      </c>
      <c r="BT407" t="str">
        <f>HYPERLINK("https%3A%2F%2Fwww.webofscience.com%2Fwos%2Fwoscc%2Ffull-record%2FWOS:000077586800002","View Full Record in Web of Science")</f>
        <v>View Full Record in Web of Science</v>
      </c>
    </row>
    <row r="408" spans="1:72" x14ac:dyDescent="0.15">
      <c r="A408" t="s">
        <v>72</v>
      </c>
      <c r="B408" t="s">
        <v>5740</v>
      </c>
      <c r="C408" t="s">
        <v>74</v>
      </c>
      <c r="D408" t="s">
        <v>74</v>
      </c>
      <c r="E408" t="s">
        <v>74</v>
      </c>
      <c r="F408" t="s">
        <v>5740</v>
      </c>
      <c r="G408" t="s">
        <v>74</v>
      </c>
      <c r="H408" t="s">
        <v>74</v>
      </c>
      <c r="I408" t="s">
        <v>5741</v>
      </c>
      <c r="J408" t="s">
        <v>5726</v>
      </c>
      <c r="K408" t="s">
        <v>74</v>
      </c>
      <c r="L408" t="s">
        <v>74</v>
      </c>
      <c r="M408" t="s">
        <v>77</v>
      </c>
      <c r="N408" t="s">
        <v>103</v>
      </c>
      <c r="O408" t="s">
        <v>74</v>
      </c>
      <c r="P408" t="s">
        <v>74</v>
      </c>
      <c r="Q408" t="s">
        <v>74</v>
      </c>
      <c r="R408" t="s">
        <v>74</v>
      </c>
      <c r="S408" t="s">
        <v>74</v>
      </c>
      <c r="T408" t="s">
        <v>74</v>
      </c>
      <c r="U408" t="s">
        <v>5742</v>
      </c>
      <c r="V408" t="s">
        <v>5743</v>
      </c>
      <c r="W408" t="s">
        <v>5744</v>
      </c>
      <c r="X408" t="s">
        <v>3550</v>
      </c>
      <c r="Y408" t="s">
        <v>5745</v>
      </c>
      <c r="Z408" t="s">
        <v>5746</v>
      </c>
      <c r="AA408" t="s">
        <v>74</v>
      </c>
      <c r="AB408" t="s">
        <v>74</v>
      </c>
      <c r="AC408" t="s">
        <v>74</v>
      </c>
      <c r="AD408" t="s">
        <v>74</v>
      </c>
      <c r="AE408" t="s">
        <v>74</v>
      </c>
      <c r="AF408" t="s">
        <v>74</v>
      </c>
      <c r="AG408">
        <v>50</v>
      </c>
      <c r="AH408">
        <v>77</v>
      </c>
      <c r="AI408">
        <v>90</v>
      </c>
      <c r="AJ408">
        <v>0</v>
      </c>
      <c r="AK408">
        <v>11</v>
      </c>
      <c r="AL408" t="s">
        <v>887</v>
      </c>
      <c r="AM408" t="s">
        <v>278</v>
      </c>
      <c r="AN408" t="s">
        <v>888</v>
      </c>
      <c r="AO408" t="s">
        <v>5734</v>
      </c>
      <c r="AP408" t="s">
        <v>74</v>
      </c>
      <c r="AQ408" t="s">
        <v>74</v>
      </c>
      <c r="AR408" t="s">
        <v>5735</v>
      </c>
      <c r="AS408" t="s">
        <v>5736</v>
      </c>
      <c r="AT408" t="s">
        <v>5063</v>
      </c>
      <c r="AU408">
        <v>1998</v>
      </c>
      <c r="AV408">
        <v>36</v>
      </c>
      <c r="AW408">
        <v>3</v>
      </c>
      <c r="AX408" t="s">
        <v>74</v>
      </c>
      <c r="AY408" t="s">
        <v>74</v>
      </c>
      <c r="AZ408" t="s">
        <v>74</v>
      </c>
      <c r="BA408" t="s">
        <v>74</v>
      </c>
      <c r="BB408">
        <v>239</v>
      </c>
      <c r="BC408">
        <v>250</v>
      </c>
      <c r="BD408" t="s">
        <v>74</v>
      </c>
      <c r="BE408" t="s">
        <v>5747</v>
      </c>
      <c r="BF408" t="str">
        <f>HYPERLINK("http://dx.doi.org/10.1007/s002489900111","http://dx.doi.org/10.1007/s002489900111")</f>
        <v>http://dx.doi.org/10.1007/s002489900111</v>
      </c>
      <c r="BG408" t="s">
        <v>74</v>
      </c>
      <c r="BH408" t="s">
        <v>74</v>
      </c>
      <c r="BI408">
        <v>12</v>
      </c>
      <c r="BJ408" t="s">
        <v>4796</v>
      </c>
      <c r="BK408" t="s">
        <v>95</v>
      </c>
      <c r="BL408" t="s">
        <v>4797</v>
      </c>
      <c r="BM408" t="s">
        <v>5738</v>
      </c>
      <c r="BN408">
        <v>9852504</v>
      </c>
      <c r="BO408" t="s">
        <v>74</v>
      </c>
      <c r="BP408" t="s">
        <v>74</v>
      </c>
      <c r="BQ408" t="s">
        <v>74</v>
      </c>
      <c r="BR408" t="s">
        <v>98</v>
      </c>
      <c r="BS408" t="s">
        <v>5748</v>
      </c>
      <c r="BT408" t="str">
        <f>HYPERLINK("https%3A%2F%2Fwww.webofscience.com%2Fwos%2Fwoscc%2Ffull-record%2FWOS:000077586800003","View Full Record in Web of Science")</f>
        <v>View Full Record in Web of Science</v>
      </c>
    </row>
    <row r="409" spans="1:72" x14ac:dyDescent="0.15">
      <c r="A409" t="s">
        <v>72</v>
      </c>
      <c r="B409" t="s">
        <v>5749</v>
      </c>
      <c r="C409" t="s">
        <v>74</v>
      </c>
      <c r="D409" t="s">
        <v>74</v>
      </c>
      <c r="E409" t="s">
        <v>74</v>
      </c>
      <c r="F409" t="s">
        <v>5749</v>
      </c>
      <c r="G409" t="s">
        <v>74</v>
      </c>
      <c r="H409" t="s">
        <v>74</v>
      </c>
      <c r="I409" t="s">
        <v>5750</v>
      </c>
      <c r="J409" t="s">
        <v>5751</v>
      </c>
      <c r="K409" t="s">
        <v>74</v>
      </c>
      <c r="L409" t="s">
        <v>74</v>
      </c>
      <c r="M409" t="s">
        <v>77</v>
      </c>
      <c r="N409" t="s">
        <v>103</v>
      </c>
      <c r="O409" t="s">
        <v>74</v>
      </c>
      <c r="P409" t="s">
        <v>74</v>
      </c>
      <c r="Q409" t="s">
        <v>74</v>
      </c>
      <c r="R409" t="s">
        <v>74</v>
      </c>
      <c r="S409" t="s">
        <v>74</v>
      </c>
      <c r="T409" t="s">
        <v>5752</v>
      </c>
      <c r="U409" t="s">
        <v>5753</v>
      </c>
      <c r="V409" t="s">
        <v>5754</v>
      </c>
      <c r="W409" t="s">
        <v>5755</v>
      </c>
      <c r="X409" t="s">
        <v>5756</v>
      </c>
      <c r="Y409" t="s">
        <v>5757</v>
      </c>
      <c r="Z409" t="s">
        <v>5758</v>
      </c>
      <c r="AA409" t="s">
        <v>5759</v>
      </c>
      <c r="AB409" t="s">
        <v>74</v>
      </c>
      <c r="AC409" t="s">
        <v>74</v>
      </c>
      <c r="AD409" t="s">
        <v>74</v>
      </c>
      <c r="AE409" t="s">
        <v>74</v>
      </c>
      <c r="AF409" t="s">
        <v>74</v>
      </c>
      <c r="AG409">
        <v>20</v>
      </c>
      <c r="AH409">
        <v>251</v>
      </c>
      <c r="AI409">
        <v>307</v>
      </c>
      <c r="AJ409">
        <v>3</v>
      </c>
      <c r="AK409">
        <v>46</v>
      </c>
      <c r="AL409" t="s">
        <v>5760</v>
      </c>
      <c r="AM409" t="s">
        <v>580</v>
      </c>
      <c r="AN409" t="s">
        <v>5761</v>
      </c>
      <c r="AO409" t="s">
        <v>5762</v>
      </c>
      <c r="AP409" t="s">
        <v>74</v>
      </c>
      <c r="AQ409" t="s">
        <v>74</v>
      </c>
      <c r="AR409" t="s">
        <v>5763</v>
      </c>
      <c r="AS409" t="s">
        <v>5764</v>
      </c>
      <c r="AT409" t="s">
        <v>5013</v>
      </c>
      <c r="AU409">
        <v>1998</v>
      </c>
      <c r="AV409">
        <v>144</v>
      </c>
      <c r="AW409" t="s">
        <v>74</v>
      </c>
      <c r="AX409">
        <v>11</v>
      </c>
      <c r="AY409" t="s">
        <v>74</v>
      </c>
      <c r="AZ409" t="s">
        <v>74</v>
      </c>
      <c r="BA409" t="s">
        <v>74</v>
      </c>
      <c r="BB409">
        <v>3039</v>
      </c>
      <c r="BC409">
        <v>3047</v>
      </c>
      <c r="BD409" t="s">
        <v>74</v>
      </c>
      <c r="BE409" t="s">
        <v>5765</v>
      </c>
      <c r="BF409" t="str">
        <f>HYPERLINK("http://dx.doi.org/10.1099/00221287-144-11-3039","http://dx.doi.org/10.1099/00221287-144-11-3039")</f>
        <v>http://dx.doi.org/10.1099/00221287-144-11-3039</v>
      </c>
      <c r="BG409" t="s">
        <v>74</v>
      </c>
      <c r="BH409" t="s">
        <v>74</v>
      </c>
      <c r="BI409">
        <v>9</v>
      </c>
      <c r="BJ409" t="s">
        <v>5766</v>
      </c>
      <c r="BK409" t="s">
        <v>95</v>
      </c>
      <c r="BL409" t="s">
        <v>5766</v>
      </c>
      <c r="BM409" t="s">
        <v>5767</v>
      </c>
      <c r="BN409">
        <v>9846739</v>
      </c>
      <c r="BO409" t="s">
        <v>1089</v>
      </c>
      <c r="BP409" t="s">
        <v>74</v>
      </c>
      <c r="BQ409" t="s">
        <v>74</v>
      </c>
      <c r="BR409" t="s">
        <v>98</v>
      </c>
      <c r="BS409" t="s">
        <v>5768</v>
      </c>
      <c r="BT409" t="str">
        <f>HYPERLINK("https%3A%2F%2Fwww.webofscience.com%2Fwos%2Fwoscc%2Ffull-record%2FWOS:000076975400012","View Full Record in Web of Science")</f>
        <v>View Full Record in Web of Science</v>
      </c>
    </row>
    <row r="410" spans="1:72" x14ac:dyDescent="0.15">
      <c r="A410" t="s">
        <v>72</v>
      </c>
      <c r="B410" t="s">
        <v>5769</v>
      </c>
      <c r="C410" t="s">
        <v>74</v>
      </c>
      <c r="D410" t="s">
        <v>74</v>
      </c>
      <c r="E410" t="s">
        <v>74</v>
      </c>
      <c r="F410" t="s">
        <v>5769</v>
      </c>
      <c r="G410" t="s">
        <v>74</v>
      </c>
      <c r="H410" t="s">
        <v>74</v>
      </c>
      <c r="I410" t="s">
        <v>5770</v>
      </c>
      <c r="J410" t="s">
        <v>5751</v>
      </c>
      <c r="K410" t="s">
        <v>74</v>
      </c>
      <c r="L410" t="s">
        <v>74</v>
      </c>
      <c r="M410" t="s">
        <v>77</v>
      </c>
      <c r="N410" t="s">
        <v>103</v>
      </c>
      <c r="O410" t="s">
        <v>74</v>
      </c>
      <c r="P410" t="s">
        <v>74</v>
      </c>
      <c r="Q410" t="s">
        <v>74</v>
      </c>
      <c r="R410" t="s">
        <v>74</v>
      </c>
      <c r="S410" t="s">
        <v>74</v>
      </c>
      <c r="T410" t="s">
        <v>5771</v>
      </c>
      <c r="U410" t="s">
        <v>5772</v>
      </c>
      <c r="V410" t="s">
        <v>5773</v>
      </c>
      <c r="W410" t="s">
        <v>5774</v>
      </c>
      <c r="X410" t="s">
        <v>5775</v>
      </c>
      <c r="Y410" t="s">
        <v>5776</v>
      </c>
      <c r="Z410" t="s">
        <v>74</v>
      </c>
      <c r="AA410" t="s">
        <v>74</v>
      </c>
      <c r="AB410" t="s">
        <v>5777</v>
      </c>
      <c r="AC410" t="s">
        <v>74</v>
      </c>
      <c r="AD410" t="s">
        <v>74</v>
      </c>
      <c r="AE410" t="s">
        <v>74</v>
      </c>
      <c r="AF410" t="s">
        <v>74</v>
      </c>
      <c r="AG410">
        <v>36</v>
      </c>
      <c r="AH410">
        <v>50</v>
      </c>
      <c r="AI410">
        <v>57</v>
      </c>
      <c r="AJ410">
        <v>1</v>
      </c>
      <c r="AK410">
        <v>14</v>
      </c>
      <c r="AL410" t="s">
        <v>5760</v>
      </c>
      <c r="AM410" t="s">
        <v>580</v>
      </c>
      <c r="AN410" t="s">
        <v>5761</v>
      </c>
      <c r="AO410" t="s">
        <v>5762</v>
      </c>
      <c r="AP410" t="s">
        <v>74</v>
      </c>
      <c r="AQ410" t="s">
        <v>74</v>
      </c>
      <c r="AR410" t="s">
        <v>5763</v>
      </c>
      <c r="AS410" t="s">
        <v>5764</v>
      </c>
      <c r="AT410" t="s">
        <v>5013</v>
      </c>
      <c r="AU410">
        <v>1998</v>
      </c>
      <c r="AV410">
        <v>144</v>
      </c>
      <c r="AW410" t="s">
        <v>74</v>
      </c>
      <c r="AX410">
        <v>11</v>
      </c>
      <c r="AY410" t="s">
        <v>74</v>
      </c>
      <c r="AZ410" t="s">
        <v>74</v>
      </c>
      <c r="BA410" t="s">
        <v>74</v>
      </c>
      <c r="BB410">
        <v>3119</v>
      </c>
      <c r="BC410">
        <v>3126</v>
      </c>
      <c r="BD410" t="s">
        <v>74</v>
      </c>
      <c r="BE410" t="s">
        <v>5778</v>
      </c>
      <c r="BF410" t="str">
        <f>HYPERLINK("http://dx.doi.org/10.1099/00221287-144-11-3119","http://dx.doi.org/10.1099/00221287-144-11-3119")</f>
        <v>http://dx.doi.org/10.1099/00221287-144-11-3119</v>
      </c>
      <c r="BG410" t="s">
        <v>74</v>
      </c>
      <c r="BH410" t="s">
        <v>74</v>
      </c>
      <c r="BI410">
        <v>8</v>
      </c>
      <c r="BJ410" t="s">
        <v>5766</v>
      </c>
      <c r="BK410" t="s">
        <v>95</v>
      </c>
      <c r="BL410" t="s">
        <v>5766</v>
      </c>
      <c r="BM410" t="s">
        <v>5767</v>
      </c>
      <c r="BN410">
        <v>9846748</v>
      </c>
      <c r="BO410" t="s">
        <v>74</v>
      </c>
      <c r="BP410" t="s">
        <v>74</v>
      </c>
      <c r="BQ410" t="s">
        <v>74</v>
      </c>
      <c r="BR410" t="s">
        <v>98</v>
      </c>
      <c r="BS410" t="s">
        <v>5779</v>
      </c>
      <c r="BT410" t="str">
        <f>HYPERLINK("https%3A%2F%2Fwww.webofscience.com%2Fwos%2Fwoscc%2Ffull-record%2FWOS:000076975400021","View Full Record in Web of Science")</f>
        <v>View Full Record in Web of Science</v>
      </c>
    </row>
    <row r="411" spans="1:72" x14ac:dyDescent="0.15">
      <c r="A411" t="s">
        <v>72</v>
      </c>
      <c r="B411" t="s">
        <v>5780</v>
      </c>
      <c r="C411" t="s">
        <v>74</v>
      </c>
      <c r="D411" t="s">
        <v>74</v>
      </c>
      <c r="E411" t="s">
        <v>74</v>
      </c>
      <c r="F411" t="s">
        <v>5780</v>
      </c>
      <c r="G411" t="s">
        <v>74</v>
      </c>
      <c r="H411" t="s">
        <v>74</v>
      </c>
      <c r="I411" t="s">
        <v>5781</v>
      </c>
      <c r="J411" t="s">
        <v>5782</v>
      </c>
      <c r="K411" t="s">
        <v>74</v>
      </c>
      <c r="L411" t="s">
        <v>74</v>
      </c>
      <c r="M411" t="s">
        <v>77</v>
      </c>
      <c r="N411" t="s">
        <v>52</v>
      </c>
      <c r="O411" t="s">
        <v>74</v>
      </c>
      <c r="P411" t="s">
        <v>74</v>
      </c>
      <c r="Q411" t="s">
        <v>74</v>
      </c>
      <c r="R411" t="s">
        <v>74</v>
      </c>
      <c r="S411" t="s">
        <v>74</v>
      </c>
      <c r="T411" t="s">
        <v>74</v>
      </c>
      <c r="U411" t="s">
        <v>74</v>
      </c>
      <c r="V411" t="s">
        <v>74</v>
      </c>
      <c r="W411" t="s">
        <v>5783</v>
      </c>
      <c r="X411" t="s">
        <v>5784</v>
      </c>
      <c r="Y411" t="s">
        <v>74</v>
      </c>
      <c r="Z411" t="s">
        <v>74</v>
      </c>
      <c r="AA411" t="s">
        <v>5785</v>
      </c>
      <c r="AB411" t="s">
        <v>5786</v>
      </c>
      <c r="AC411" t="s">
        <v>74</v>
      </c>
      <c r="AD411" t="s">
        <v>74</v>
      </c>
      <c r="AE411" t="s">
        <v>74</v>
      </c>
      <c r="AF411" t="s">
        <v>74</v>
      </c>
      <c r="AG411">
        <v>0</v>
      </c>
      <c r="AH411">
        <v>1</v>
      </c>
      <c r="AI411">
        <v>1</v>
      </c>
      <c r="AJ411">
        <v>0</v>
      </c>
      <c r="AK411">
        <v>1</v>
      </c>
      <c r="AL411" t="s">
        <v>5787</v>
      </c>
      <c r="AM411" t="s">
        <v>1740</v>
      </c>
      <c r="AN411" t="s">
        <v>5788</v>
      </c>
      <c r="AO411" t="s">
        <v>5789</v>
      </c>
      <c r="AP411" t="s">
        <v>74</v>
      </c>
      <c r="AQ411" t="s">
        <v>74</v>
      </c>
      <c r="AR411" t="s">
        <v>5790</v>
      </c>
      <c r="AS411" t="s">
        <v>5791</v>
      </c>
      <c r="AT411" t="s">
        <v>5013</v>
      </c>
      <c r="AU411">
        <v>1998</v>
      </c>
      <c r="AV411">
        <v>9</v>
      </c>
      <c r="AW411" t="s">
        <v>74</v>
      </c>
      <c r="AX411" t="s">
        <v>74</v>
      </c>
      <c r="AY411" t="s">
        <v>215</v>
      </c>
      <c r="AZ411" t="s">
        <v>74</v>
      </c>
      <c r="BA411">
        <v>868</v>
      </c>
      <c r="BB411" t="s">
        <v>5792</v>
      </c>
      <c r="BC411" t="s">
        <v>5792</v>
      </c>
      <c r="BD411" t="s">
        <v>74</v>
      </c>
      <c r="BE411" t="s">
        <v>74</v>
      </c>
      <c r="BF411" t="s">
        <v>74</v>
      </c>
      <c r="BG411" t="s">
        <v>74</v>
      </c>
      <c r="BH411" t="s">
        <v>74</v>
      </c>
      <c r="BI411">
        <v>1</v>
      </c>
      <c r="BJ411" t="s">
        <v>284</v>
      </c>
      <c r="BK411" t="s">
        <v>95</v>
      </c>
      <c r="BL411" t="s">
        <v>284</v>
      </c>
      <c r="BM411" t="s">
        <v>5793</v>
      </c>
      <c r="BN411" t="s">
        <v>74</v>
      </c>
      <c r="BO411" t="s">
        <v>74</v>
      </c>
      <c r="BP411" t="s">
        <v>74</v>
      </c>
      <c r="BQ411" t="s">
        <v>74</v>
      </c>
      <c r="BR411" t="s">
        <v>98</v>
      </c>
      <c r="BS411" t="s">
        <v>5794</v>
      </c>
      <c r="BT411" t="str">
        <f>HYPERLINK("https%3A%2F%2Fwww.webofscience.com%2Fwos%2Fwoscc%2Ffull-record%2FWOS:000076906700868","View Full Record in Web of Science")</f>
        <v>View Full Record in Web of Science</v>
      </c>
    </row>
    <row r="412" spans="1:72" x14ac:dyDescent="0.15">
      <c r="A412" t="s">
        <v>72</v>
      </c>
      <c r="B412" t="s">
        <v>5795</v>
      </c>
      <c r="C412" t="s">
        <v>74</v>
      </c>
      <c r="D412" t="s">
        <v>74</v>
      </c>
      <c r="E412" t="s">
        <v>74</v>
      </c>
      <c r="F412" t="s">
        <v>5795</v>
      </c>
      <c r="G412" t="s">
        <v>74</v>
      </c>
      <c r="H412" t="s">
        <v>74</v>
      </c>
      <c r="I412" t="s">
        <v>5796</v>
      </c>
      <c r="J412" t="s">
        <v>5782</v>
      </c>
      <c r="K412" t="s">
        <v>74</v>
      </c>
      <c r="L412" t="s">
        <v>74</v>
      </c>
      <c r="M412" t="s">
        <v>77</v>
      </c>
      <c r="N412" t="s">
        <v>52</v>
      </c>
      <c r="O412" t="s">
        <v>74</v>
      </c>
      <c r="P412" t="s">
        <v>74</v>
      </c>
      <c r="Q412" t="s">
        <v>74</v>
      </c>
      <c r="R412" t="s">
        <v>74</v>
      </c>
      <c r="S412" t="s">
        <v>74</v>
      </c>
      <c r="T412" t="s">
        <v>74</v>
      </c>
      <c r="U412" t="s">
        <v>74</v>
      </c>
      <c r="V412" t="s">
        <v>74</v>
      </c>
      <c r="W412" t="s">
        <v>3731</v>
      </c>
      <c r="X412" t="s">
        <v>3732</v>
      </c>
      <c r="Y412" t="s">
        <v>74</v>
      </c>
      <c r="Z412" t="s">
        <v>74</v>
      </c>
      <c r="AA412" t="s">
        <v>74</v>
      </c>
      <c r="AB412" t="s">
        <v>74</v>
      </c>
      <c r="AC412" t="s">
        <v>74</v>
      </c>
      <c r="AD412" t="s">
        <v>74</v>
      </c>
      <c r="AE412" t="s">
        <v>74</v>
      </c>
      <c r="AF412" t="s">
        <v>74</v>
      </c>
      <c r="AG412">
        <v>0</v>
      </c>
      <c r="AH412">
        <v>0</v>
      </c>
      <c r="AI412">
        <v>0</v>
      </c>
      <c r="AJ412">
        <v>0</v>
      </c>
      <c r="AK412">
        <v>1</v>
      </c>
      <c r="AL412" t="s">
        <v>5787</v>
      </c>
      <c r="AM412" t="s">
        <v>1740</v>
      </c>
      <c r="AN412" t="s">
        <v>5788</v>
      </c>
      <c r="AO412" t="s">
        <v>5789</v>
      </c>
      <c r="AP412" t="s">
        <v>74</v>
      </c>
      <c r="AQ412" t="s">
        <v>74</v>
      </c>
      <c r="AR412" t="s">
        <v>5790</v>
      </c>
      <c r="AS412" t="s">
        <v>5791</v>
      </c>
      <c r="AT412" t="s">
        <v>5013</v>
      </c>
      <c r="AU412">
        <v>1998</v>
      </c>
      <c r="AV412">
        <v>9</v>
      </c>
      <c r="AW412" t="s">
        <v>74</v>
      </c>
      <c r="AX412" t="s">
        <v>74</v>
      </c>
      <c r="AY412" t="s">
        <v>215</v>
      </c>
      <c r="AZ412" t="s">
        <v>74</v>
      </c>
      <c r="BA412">
        <v>2274</v>
      </c>
      <c r="BB412" t="s">
        <v>5797</v>
      </c>
      <c r="BC412" t="s">
        <v>5797</v>
      </c>
      <c r="BD412" t="s">
        <v>74</v>
      </c>
      <c r="BE412" t="s">
        <v>74</v>
      </c>
      <c r="BF412" t="s">
        <v>74</v>
      </c>
      <c r="BG412" t="s">
        <v>74</v>
      </c>
      <c r="BH412" t="s">
        <v>74</v>
      </c>
      <c r="BI412">
        <v>1</v>
      </c>
      <c r="BJ412" t="s">
        <v>284</v>
      </c>
      <c r="BK412" t="s">
        <v>95</v>
      </c>
      <c r="BL412" t="s">
        <v>284</v>
      </c>
      <c r="BM412" t="s">
        <v>5793</v>
      </c>
      <c r="BN412" t="s">
        <v>74</v>
      </c>
      <c r="BO412" t="s">
        <v>74</v>
      </c>
      <c r="BP412" t="s">
        <v>74</v>
      </c>
      <c r="BQ412" t="s">
        <v>74</v>
      </c>
      <c r="BR412" t="s">
        <v>98</v>
      </c>
      <c r="BS412" t="s">
        <v>5798</v>
      </c>
      <c r="BT412" t="str">
        <f>HYPERLINK("https%3A%2F%2Fwww.webofscience.com%2Fwos%2Fwoscc%2Ffull-record%2FWOS:000076906702275","View Full Record in Web of Science")</f>
        <v>View Full Record in Web of Science</v>
      </c>
    </row>
    <row r="413" spans="1:72" x14ac:dyDescent="0.15">
      <c r="A413" t="s">
        <v>72</v>
      </c>
      <c r="B413" t="s">
        <v>5799</v>
      </c>
      <c r="C413" t="s">
        <v>74</v>
      </c>
      <c r="D413" t="s">
        <v>74</v>
      </c>
      <c r="E413" t="s">
        <v>74</v>
      </c>
      <c r="F413" t="s">
        <v>5799</v>
      </c>
      <c r="G413" t="s">
        <v>74</v>
      </c>
      <c r="H413" t="s">
        <v>74</v>
      </c>
      <c r="I413" t="s">
        <v>5800</v>
      </c>
      <c r="J413" t="s">
        <v>2509</v>
      </c>
      <c r="K413" t="s">
        <v>74</v>
      </c>
      <c r="L413" t="s">
        <v>74</v>
      </c>
      <c r="M413" t="s">
        <v>2510</v>
      </c>
      <c r="N413" t="s">
        <v>103</v>
      </c>
      <c r="O413" t="s">
        <v>74</v>
      </c>
      <c r="P413" t="s">
        <v>74</v>
      </c>
      <c r="Q413" t="s">
        <v>74</v>
      </c>
      <c r="R413" t="s">
        <v>74</v>
      </c>
      <c r="S413" t="s">
        <v>74</v>
      </c>
      <c r="T413" t="s">
        <v>74</v>
      </c>
      <c r="U413" t="s">
        <v>5801</v>
      </c>
      <c r="V413" t="s">
        <v>5802</v>
      </c>
      <c r="W413" t="s">
        <v>2512</v>
      </c>
      <c r="X413" t="s">
        <v>2513</v>
      </c>
      <c r="Y413" t="s">
        <v>5803</v>
      </c>
      <c r="Z413" t="s">
        <v>74</v>
      </c>
      <c r="AA413" t="s">
        <v>74</v>
      </c>
      <c r="AB413" t="s">
        <v>74</v>
      </c>
      <c r="AC413" t="s">
        <v>74</v>
      </c>
      <c r="AD413" t="s">
        <v>74</v>
      </c>
      <c r="AE413" t="s">
        <v>74</v>
      </c>
      <c r="AF413" t="s">
        <v>74</v>
      </c>
      <c r="AG413">
        <v>28</v>
      </c>
      <c r="AH413">
        <v>5</v>
      </c>
      <c r="AI413">
        <v>6</v>
      </c>
      <c r="AJ413">
        <v>0</v>
      </c>
      <c r="AK413">
        <v>0</v>
      </c>
      <c r="AL413" t="s">
        <v>2517</v>
      </c>
      <c r="AM413" t="s">
        <v>2518</v>
      </c>
      <c r="AN413" t="s">
        <v>2519</v>
      </c>
      <c r="AO413" t="s">
        <v>2520</v>
      </c>
      <c r="AP413" t="s">
        <v>74</v>
      </c>
      <c r="AQ413" t="s">
        <v>74</v>
      </c>
      <c r="AR413" t="s">
        <v>2521</v>
      </c>
      <c r="AS413" t="s">
        <v>2522</v>
      </c>
      <c r="AT413" t="s">
        <v>5063</v>
      </c>
      <c r="AU413">
        <v>1998</v>
      </c>
      <c r="AV413">
        <v>38</v>
      </c>
      <c r="AW413">
        <v>6</v>
      </c>
      <c r="AX413" t="s">
        <v>74</v>
      </c>
      <c r="AY413" t="s">
        <v>74</v>
      </c>
      <c r="AZ413" t="s">
        <v>74</v>
      </c>
      <c r="BA413" t="s">
        <v>74</v>
      </c>
      <c r="BB413">
        <v>873</v>
      </c>
      <c r="BC413">
        <v>880</v>
      </c>
      <c r="BD413" t="s">
        <v>74</v>
      </c>
      <c r="BE413" t="s">
        <v>74</v>
      </c>
      <c r="BF413" t="s">
        <v>74</v>
      </c>
      <c r="BG413" t="s">
        <v>74</v>
      </c>
      <c r="BH413" t="s">
        <v>74</v>
      </c>
      <c r="BI413">
        <v>8</v>
      </c>
      <c r="BJ413" t="s">
        <v>451</v>
      </c>
      <c r="BK413" t="s">
        <v>95</v>
      </c>
      <c r="BL413" t="s">
        <v>451</v>
      </c>
      <c r="BM413" t="s">
        <v>5804</v>
      </c>
      <c r="BN413" t="s">
        <v>74</v>
      </c>
      <c r="BO413" t="s">
        <v>74</v>
      </c>
      <c r="BP413" t="s">
        <v>74</v>
      </c>
      <c r="BQ413" t="s">
        <v>74</v>
      </c>
      <c r="BR413" t="s">
        <v>98</v>
      </c>
      <c r="BS413" t="s">
        <v>5805</v>
      </c>
      <c r="BT413" t="str">
        <f>HYPERLINK("https%3A%2F%2Fwww.webofscience.com%2Fwos%2Fwoscc%2Ffull-record%2FWOS:000078286200009","View Full Record in Web of Science")</f>
        <v>View Full Record in Web of Science</v>
      </c>
    </row>
    <row r="414" spans="1:72" x14ac:dyDescent="0.15">
      <c r="A414" t="s">
        <v>72</v>
      </c>
      <c r="B414" t="s">
        <v>5806</v>
      </c>
      <c r="C414" t="s">
        <v>74</v>
      </c>
      <c r="D414" t="s">
        <v>74</v>
      </c>
      <c r="E414" t="s">
        <v>74</v>
      </c>
      <c r="F414" t="s">
        <v>5806</v>
      </c>
      <c r="G414" t="s">
        <v>74</v>
      </c>
      <c r="H414" t="s">
        <v>74</v>
      </c>
      <c r="I414" t="s">
        <v>5807</v>
      </c>
      <c r="J414" t="s">
        <v>2509</v>
      </c>
      <c r="K414" t="s">
        <v>74</v>
      </c>
      <c r="L414" t="s">
        <v>74</v>
      </c>
      <c r="M414" t="s">
        <v>2510</v>
      </c>
      <c r="N414" t="s">
        <v>103</v>
      </c>
      <c r="O414" t="s">
        <v>74</v>
      </c>
      <c r="P414" t="s">
        <v>74</v>
      </c>
      <c r="Q414" t="s">
        <v>74</v>
      </c>
      <c r="R414" t="s">
        <v>74</v>
      </c>
      <c r="S414" t="s">
        <v>74</v>
      </c>
      <c r="T414" t="s">
        <v>74</v>
      </c>
      <c r="U414" t="s">
        <v>5808</v>
      </c>
      <c r="V414" t="s">
        <v>5809</v>
      </c>
      <c r="W414" t="s">
        <v>5810</v>
      </c>
      <c r="X414" t="s">
        <v>5811</v>
      </c>
      <c r="Y414" t="s">
        <v>5812</v>
      </c>
      <c r="Z414" t="s">
        <v>74</v>
      </c>
      <c r="AA414" t="s">
        <v>74</v>
      </c>
      <c r="AB414" t="s">
        <v>74</v>
      </c>
      <c r="AC414" t="s">
        <v>74</v>
      </c>
      <c r="AD414" t="s">
        <v>74</v>
      </c>
      <c r="AE414" t="s">
        <v>74</v>
      </c>
      <c r="AF414" t="s">
        <v>74</v>
      </c>
      <c r="AG414">
        <v>15</v>
      </c>
      <c r="AH414">
        <v>2</v>
      </c>
      <c r="AI414">
        <v>2</v>
      </c>
      <c r="AJ414">
        <v>0</v>
      </c>
      <c r="AK414">
        <v>1</v>
      </c>
      <c r="AL414" t="s">
        <v>5813</v>
      </c>
      <c r="AM414" t="s">
        <v>2518</v>
      </c>
      <c r="AN414" t="s">
        <v>5814</v>
      </c>
      <c r="AO414" t="s">
        <v>2520</v>
      </c>
      <c r="AP414" t="s">
        <v>74</v>
      </c>
      <c r="AQ414" t="s">
        <v>74</v>
      </c>
      <c r="AR414" t="s">
        <v>2521</v>
      </c>
      <c r="AS414" t="s">
        <v>2522</v>
      </c>
      <c r="AT414" t="s">
        <v>5063</v>
      </c>
      <c r="AU414">
        <v>1998</v>
      </c>
      <c r="AV414">
        <v>38</v>
      </c>
      <c r="AW414">
        <v>6</v>
      </c>
      <c r="AX414" t="s">
        <v>74</v>
      </c>
      <c r="AY414" t="s">
        <v>74</v>
      </c>
      <c r="AZ414" t="s">
        <v>74</v>
      </c>
      <c r="BA414" t="s">
        <v>74</v>
      </c>
      <c r="BB414">
        <v>901</v>
      </c>
      <c r="BC414">
        <v>910</v>
      </c>
      <c r="BD414" t="s">
        <v>74</v>
      </c>
      <c r="BE414" t="s">
        <v>74</v>
      </c>
      <c r="BF414" t="s">
        <v>74</v>
      </c>
      <c r="BG414" t="s">
        <v>74</v>
      </c>
      <c r="BH414" t="s">
        <v>74</v>
      </c>
      <c r="BI414">
        <v>10</v>
      </c>
      <c r="BJ414" t="s">
        <v>451</v>
      </c>
      <c r="BK414" t="s">
        <v>95</v>
      </c>
      <c r="BL414" t="s">
        <v>451</v>
      </c>
      <c r="BM414" t="s">
        <v>5804</v>
      </c>
      <c r="BN414" t="s">
        <v>74</v>
      </c>
      <c r="BO414" t="s">
        <v>74</v>
      </c>
      <c r="BP414" t="s">
        <v>74</v>
      </c>
      <c r="BQ414" t="s">
        <v>74</v>
      </c>
      <c r="BR414" t="s">
        <v>98</v>
      </c>
      <c r="BS414" t="s">
        <v>5815</v>
      </c>
      <c r="BT414" t="str">
        <f>HYPERLINK("https%3A%2F%2Fwww.webofscience.com%2Fwos%2Fwoscc%2Ffull-record%2FWOS:000078286200013","View Full Record in Web of Science")</f>
        <v>View Full Record in Web of Science</v>
      </c>
    </row>
    <row r="415" spans="1:72" x14ac:dyDescent="0.15">
      <c r="A415" t="s">
        <v>72</v>
      </c>
      <c r="B415" t="s">
        <v>5816</v>
      </c>
      <c r="C415" t="s">
        <v>74</v>
      </c>
      <c r="D415" t="s">
        <v>74</v>
      </c>
      <c r="E415" t="s">
        <v>74</v>
      </c>
      <c r="F415" t="s">
        <v>5816</v>
      </c>
      <c r="G415" t="s">
        <v>74</v>
      </c>
      <c r="H415" t="s">
        <v>74</v>
      </c>
      <c r="I415" t="s">
        <v>5817</v>
      </c>
      <c r="J415" t="s">
        <v>5818</v>
      </c>
      <c r="K415" t="s">
        <v>74</v>
      </c>
      <c r="L415" t="s">
        <v>74</v>
      </c>
      <c r="M415" t="s">
        <v>77</v>
      </c>
      <c r="N415" t="s">
        <v>103</v>
      </c>
      <c r="O415" t="s">
        <v>74</v>
      </c>
      <c r="P415" t="s">
        <v>74</v>
      </c>
      <c r="Q415" t="s">
        <v>74</v>
      </c>
      <c r="R415" t="s">
        <v>74</v>
      </c>
      <c r="S415" t="s">
        <v>74</v>
      </c>
      <c r="T415" t="s">
        <v>5819</v>
      </c>
      <c r="U415" t="s">
        <v>5820</v>
      </c>
      <c r="V415" t="s">
        <v>5821</v>
      </c>
      <c r="W415" t="s">
        <v>5822</v>
      </c>
      <c r="X415" t="s">
        <v>5121</v>
      </c>
      <c r="Y415" t="s">
        <v>5823</v>
      </c>
      <c r="Z415" t="s">
        <v>74</v>
      </c>
      <c r="AA415" t="s">
        <v>5824</v>
      </c>
      <c r="AB415" t="s">
        <v>5825</v>
      </c>
      <c r="AC415" t="s">
        <v>74</v>
      </c>
      <c r="AD415" t="s">
        <v>74</v>
      </c>
      <c r="AE415" t="s">
        <v>74</v>
      </c>
      <c r="AF415" t="s">
        <v>74</v>
      </c>
      <c r="AG415">
        <v>18</v>
      </c>
      <c r="AH415">
        <v>11</v>
      </c>
      <c r="AI415">
        <v>15</v>
      </c>
      <c r="AJ415">
        <v>0</v>
      </c>
      <c r="AK415">
        <v>11</v>
      </c>
      <c r="AL415" t="s">
        <v>445</v>
      </c>
      <c r="AM415" t="s">
        <v>229</v>
      </c>
      <c r="AN415" t="s">
        <v>446</v>
      </c>
      <c r="AO415" t="s">
        <v>5826</v>
      </c>
      <c r="AP415" t="s">
        <v>74</v>
      </c>
      <c r="AQ415" t="s">
        <v>74</v>
      </c>
      <c r="AR415" t="s">
        <v>5818</v>
      </c>
      <c r="AS415" t="s">
        <v>5827</v>
      </c>
      <c r="AT415" t="s">
        <v>5013</v>
      </c>
      <c r="AU415">
        <v>1998</v>
      </c>
      <c r="AV415">
        <v>49</v>
      </c>
      <c r="AW415">
        <v>5</v>
      </c>
      <c r="AX415" t="s">
        <v>74</v>
      </c>
      <c r="AY415" t="s">
        <v>74</v>
      </c>
      <c r="AZ415" t="s">
        <v>74</v>
      </c>
      <c r="BA415" t="s">
        <v>74</v>
      </c>
      <c r="BB415">
        <v>1249</v>
      </c>
      <c r="BC415">
        <v>1252</v>
      </c>
      <c r="BD415" t="s">
        <v>74</v>
      </c>
      <c r="BE415" t="s">
        <v>5828</v>
      </c>
      <c r="BF415" t="str">
        <f>HYPERLINK("http://dx.doi.org/10.1016/S0031-9422(98)00117-4","http://dx.doi.org/10.1016/S0031-9422(98)00117-4")</f>
        <v>http://dx.doi.org/10.1016/S0031-9422(98)00117-4</v>
      </c>
      <c r="BG415" t="s">
        <v>74</v>
      </c>
      <c r="BH415" t="s">
        <v>74</v>
      </c>
      <c r="BI415">
        <v>4</v>
      </c>
      <c r="BJ415" t="s">
        <v>5829</v>
      </c>
      <c r="BK415" t="s">
        <v>95</v>
      </c>
      <c r="BL415" t="s">
        <v>5829</v>
      </c>
      <c r="BM415" t="s">
        <v>5830</v>
      </c>
      <c r="BN415" t="s">
        <v>74</v>
      </c>
      <c r="BO415" t="s">
        <v>74</v>
      </c>
      <c r="BP415" t="s">
        <v>74</v>
      </c>
      <c r="BQ415" t="s">
        <v>74</v>
      </c>
      <c r="BR415" t="s">
        <v>98</v>
      </c>
      <c r="BS415" t="s">
        <v>5831</v>
      </c>
      <c r="BT415" t="str">
        <f>HYPERLINK("https%3A%2F%2Fwww.webofscience.com%2Fwos%2Fwoscc%2Ffull-record%2FWOS:000077125100014","View Full Record in Web of Science")</f>
        <v>View Full Record in Web of Science</v>
      </c>
    </row>
    <row r="416" spans="1:72" x14ac:dyDescent="0.15">
      <c r="A416" t="s">
        <v>72</v>
      </c>
      <c r="B416" t="s">
        <v>5832</v>
      </c>
      <c r="C416" t="s">
        <v>74</v>
      </c>
      <c r="D416" t="s">
        <v>74</v>
      </c>
      <c r="E416" t="s">
        <v>74</v>
      </c>
      <c r="F416" t="s">
        <v>5832</v>
      </c>
      <c r="G416" t="s">
        <v>74</v>
      </c>
      <c r="H416" t="s">
        <v>74</v>
      </c>
      <c r="I416" t="s">
        <v>5833</v>
      </c>
      <c r="J416" t="s">
        <v>5834</v>
      </c>
      <c r="K416" t="s">
        <v>74</v>
      </c>
      <c r="L416" t="s">
        <v>74</v>
      </c>
      <c r="M416" t="s">
        <v>77</v>
      </c>
      <c r="N416" t="s">
        <v>103</v>
      </c>
      <c r="O416" t="s">
        <v>74</v>
      </c>
      <c r="P416" t="s">
        <v>74</v>
      </c>
      <c r="Q416" t="s">
        <v>74</v>
      </c>
      <c r="R416" t="s">
        <v>74</v>
      </c>
      <c r="S416" t="s">
        <v>74</v>
      </c>
      <c r="T416" t="s">
        <v>5835</v>
      </c>
      <c r="U416" t="s">
        <v>5836</v>
      </c>
      <c r="V416" t="s">
        <v>5837</v>
      </c>
      <c r="W416" t="s">
        <v>5838</v>
      </c>
      <c r="X416" t="s">
        <v>5839</v>
      </c>
      <c r="Y416" t="s">
        <v>5840</v>
      </c>
      <c r="Z416" t="s">
        <v>74</v>
      </c>
      <c r="AA416" t="s">
        <v>74</v>
      </c>
      <c r="AB416" t="s">
        <v>74</v>
      </c>
      <c r="AC416" t="s">
        <v>74</v>
      </c>
      <c r="AD416" t="s">
        <v>74</v>
      </c>
      <c r="AE416" t="s">
        <v>74</v>
      </c>
      <c r="AF416" t="s">
        <v>74</v>
      </c>
      <c r="AG416">
        <v>32</v>
      </c>
      <c r="AH416">
        <v>56</v>
      </c>
      <c r="AI416">
        <v>63</v>
      </c>
      <c r="AJ416">
        <v>3</v>
      </c>
      <c r="AK416">
        <v>22</v>
      </c>
      <c r="AL416" t="s">
        <v>887</v>
      </c>
      <c r="AM416" t="s">
        <v>278</v>
      </c>
      <c r="AN416" t="s">
        <v>888</v>
      </c>
      <c r="AO416" t="s">
        <v>5841</v>
      </c>
      <c r="AP416" t="s">
        <v>74</v>
      </c>
      <c r="AQ416" t="s">
        <v>74</v>
      </c>
      <c r="AR416" t="s">
        <v>5834</v>
      </c>
      <c r="AS416" t="s">
        <v>5842</v>
      </c>
      <c r="AT416" t="s">
        <v>5013</v>
      </c>
      <c r="AU416">
        <v>1998</v>
      </c>
      <c r="AV416">
        <v>206</v>
      </c>
      <c r="AW416">
        <v>4</v>
      </c>
      <c r="AX416" t="s">
        <v>74</v>
      </c>
      <c r="AY416" t="s">
        <v>74</v>
      </c>
      <c r="AZ416" t="s">
        <v>74</v>
      </c>
      <c r="BA416" t="s">
        <v>74</v>
      </c>
      <c r="BB416">
        <v>611</v>
      </c>
      <c r="BC416">
        <v>618</v>
      </c>
      <c r="BD416" t="s">
        <v>74</v>
      </c>
      <c r="BE416" t="s">
        <v>5843</v>
      </c>
      <c r="BF416" t="str">
        <f>HYPERLINK("http://dx.doi.org/10.1007/s004250050439","http://dx.doi.org/10.1007/s004250050439")</f>
        <v>http://dx.doi.org/10.1007/s004250050439</v>
      </c>
      <c r="BG416" t="s">
        <v>74</v>
      </c>
      <c r="BH416" t="s">
        <v>74</v>
      </c>
      <c r="BI416">
        <v>8</v>
      </c>
      <c r="BJ416" t="s">
        <v>382</v>
      </c>
      <c r="BK416" t="s">
        <v>95</v>
      </c>
      <c r="BL416" t="s">
        <v>382</v>
      </c>
      <c r="BM416" t="s">
        <v>5844</v>
      </c>
      <c r="BN416" t="s">
        <v>74</v>
      </c>
      <c r="BO416" t="s">
        <v>74</v>
      </c>
      <c r="BP416" t="s">
        <v>74</v>
      </c>
      <c r="BQ416" t="s">
        <v>74</v>
      </c>
      <c r="BR416" t="s">
        <v>98</v>
      </c>
      <c r="BS416" t="s">
        <v>5845</v>
      </c>
      <c r="BT416" t="str">
        <f>HYPERLINK("https%3A%2F%2Fwww.webofscience.com%2Fwos%2Fwoscc%2Ffull-record%2FWOS:000076746100015","View Full Record in Web of Science")</f>
        <v>View Full Record in Web of Science</v>
      </c>
    </row>
    <row r="417" spans="1:72" x14ac:dyDescent="0.15">
      <c r="A417" t="s">
        <v>72</v>
      </c>
      <c r="B417" t="s">
        <v>5846</v>
      </c>
      <c r="C417" t="s">
        <v>74</v>
      </c>
      <c r="D417" t="s">
        <v>74</v>
      </c>
      <c r="E417" t="s">
        <v>74</v>
      </c>
      <c r="F417" t="s">
        <v>5846</v>
      </c>
      <c r="G417" t="s">
        <v>74</v>
      </c>
      <c r="H417" t="s">
        <v>74</v>
      </c>
      <c r="I417" t="s">
        <v>5847</v>
      </c>
      <c r="J417" t="s">
        <v>2603</v>
      </c>
      <c r="K417" t="s">
        <v>74</v>
      </c>
      <c r="L417" t="s">
        <v>74</v>
      </c>
      <c r="M417" t="s">
        <v>77</v>
      </c>
      <c r="N417" t="s">
        <v>103</v>
      </c>
      <c r="O417" t="s">
        <v>74</v>
      </c>
      <c r="P417" t="s">
        <v>74</v>
      </c>
      <c r="Q417" t="s">
        <v>74</v>
      </c>
      <c r="R417" t="s">
        <v>74</v>
      </c>
      <c r="S417" t="s">
        <v>74</v>
      </c>
      <c r="T417" t="s">
        <v>74</v>
      </c>
      <c r="U417" t="s">
        <v>5848</v>
      </c>
      <c r="V417" t="s">
        <v>5849</v>
      </c>
      <c r="W417" t="s">
        <v>4067</v>
      </c>
      <c r="X417" t="s">
        <v>2975</v>
      </c>
      <c r="Y417" t="s">
        <v>5850</v>
      </c>
      <c r="Z417" t="s">
        <v>74</v>
      </c>
      <c r="AA417" t="s">
        <v>5851</v>
      </c>
      <c r="AB417" t="s">
        <v>74</v>
      </c>
      <c r="AC417" t="s">
        <v>74</v>
      </c>
      <c r="AD417" t="s">
        <v>74</v>
      </c>
      <c r="AE417" t="s">
        <v>74</v>
      </c>
      <c r="AF417" t="s">
        <v>74</v>
      </c>
      <c r="AG417">
        <v>42</v>
      </c>
      <c r="AH417">
        <v>28</v>
      </c>
      <c r="AI417">
        <v>28</v>
      </c>
      <c r="AJ417">
        <v>0</v>
      </c>
      <c r="AK417">
        <v>13</v>
      </c>
      <c r="AL417" t="s">
        <v>887</v>
      </c>
      <c r="AM417" t="s">
        <v>278</v>
      </c>
      <c r="AN417" t="s">
        <v>888</v>
      </c>
      <c r="AO417" t="s">
        <v>2610</v>
      </c>
      <c r="AP417" t="s">
        <v>74</v>
      </c>
      <c r="AQ417" t="s">
        <v>74</v>
      </c>
      <c r="AR417" t="s">
        <v>2612</v>
      </c>
      <c r="AS417" t="s">
        <v>2613</v>
      </c>
      <c r="AT417" t="s">
        <v>5013</v>
      </c>
      <c r="AU417">
        <v>1998</v>
      </c>
      <c r="AV417">
        <v>20</v>
      </c>
      <c r="AW417">
        <v>5</v>
      </c>
      <c r="AX417" t="s">
        <v>74</v>
      </c>
      <c r="AY417" t="s">
        <v>74</v>
      </c>
      <c r="AZ417" t="s">
        <v>74</v>
      </c>
      <c r="BA417" t="s">
        <v>74</v>
      </c>
      <c r="BB417">
        <v>293</v>
      </c>
      <c r="BC417">
        <v>302</v>
      </c>
      <c r="BD417" t="s">
        <v>74</v>
      </c>
      <c r="BE417" t="s">
        <v>5852</v>
      </c>
      <c r="BF417" t="str">
        <f>HYPERLINK("http://dx.doi.org/10.1007/s003000050306","http://dx.doi.org/10.1007/s003000050306")</f>
        <v>http://dx.doi.org/10.1007/s003000050306</v>
      </c>
      <c r="BG417" t="s">
        <v>74</v>
      </c>
      <c r="BH417" t="s">
        <v>74</v>
      </c>
      <c r="BI417">
        <v>10</v>
      </c>
      <c r="BJ417" t="s">
        <v>2615</v>
      </c>
      <c r="BK417" t="s">
        <v>95</v>
      </c>
      <c r="BL417" t="s">
        <v>2616</v>
      </c>
      <c r="BM417" t="s">
        <v>5853</v>
      </c>
      <c r="BN417" t="s">
        <v>74</v>
      </c>
      <c r="BO417" t="s">
        <v>74</v>
      </c>
      <c r="BP417" t="s">
        <v>74</v>
      </c>
      <c r="BQ417" t="s">
        <v>74</v>
      </c>
      <c r="BR417" t="s">
        <v>98</v>
      </c>
      <c r="BS417" t="s">
        <v>5854</v>
      </c>
      <c r="BT417" t="str">
        <f>HYPERLINK("https%3A%2F%2Fwww.webofscience.com%2Fwos%2Fwoscc%2Ffull-record%2FWOS:000076460600001","View Full Record in Web of Science")</f>
        <v>View Full Record in Web of Science</v>
      </c>
    </row>
    <row r="418" spans="1:72" x14ac:dyDescent="0.15">
      <c r="A418" t="s">
        <v>72</v>
      </c>
      <c r="B418" t="s">
        <v>5855</v>
      </c>
      <c r="C418" t="s">
        <v>74</v>
      </c>
      <c r="D418" t="s">
        <v>74</v>
      </c>
      <c r="E418" t="s">
        <v>74</v>
      </c>
      <c r="F418" t="s">
        <v>5855</v>
      </c>
      <c r="G418" t="s">
        <v>74</v>
      </c>
      <c r="H418" t="s">
        <v>74</v>
      </c>
      <c r="I418" t="s">
        <v>5856</v>
      </c>
      <c r="J418" t="s">
        <v>2603</v>
      </c>
      <c r="K418" t="s">
        <v>74</v>
      </c>
      <c r="L418" t="s">
        <v>74</v>
      </c>
      <c r="M418" t="s">
        <v>77</v>
      </c>
      <c r="N418" t="s">
        <v>103</v>
      </c>
      <c r="O418" t="s">
        <v>74</v>
      </c>
      <c r="P418" t="s">
        <v>74</v>
      </c>
      <c r="Q418" t="s">
        <v>74</v>
      </c>
      <c r="R418" t="s">
        <v>74</v>
      </c>
      <c r="S418" t="s">
        <v>74</v>
      </c>
      <c r="T418" t="s">
        <v>74</v>
      </c>
      <c r="U418" t="s">
        <v>74</v>
      </c>
      <c r="V418" t="s">
        <v>5857</v>
      </c>
      <c r="W418" t="s">
        <v>5858</v>
      </c>
      <c r="X418" t="s">
        <v>2975</v>
      </c>
      <c r="Y418" t="s">
        <v>5859</v>
      </c>
      <c r="Z418" t="s">
        <v>74</v>
      </c>
      <c r="AA418" t="s">
        <v>74</v>
      </c>
      <c r="AB418" t="s">
        <v>74</v>
      </c>
      <c r="AC418" t="s">
        <v>74</v>
      </c>
      <c r="AD418" t="s">
        <v>74</v>
      </c>
      <c r="AE418" t="s">
        <v>74</v>
      </c>
      <c r="AF418" t="s">
        <v>74</v>
      </c>
      <c r="AG418">
        <v>14</v>
      </c>
      <c r="AH418">
        <v>27</v>
      </c>
      <c r="AI418">
        <v>29</v>
      </c>
      <c r="AJ418">
        <v>0</v>
      </c>
      <c r="AK418">
        <v>6</v>
      </c>
      <c r="AL418" t="s">
        <v>887</v>
      </c>
      <c r="AM418" t="s">
        <v>278</v>
      </c>
      <c r="AN418" t="s">
        <v>888</v>
      </c>
      <c r="AO418" t="s">
        <v>2610</v>
      </c>
      <c r="AP418" t="s">
        <v>74</v>
      </c>
      <c r="AQ418" t="s">
        <v>74</v>
      </c>
      <c r="AR418" t="s">
        <v>2612</v>
      </c>
      <c r="AS418" t="s">
        <v>2613</v>
      </c>
      <c r="AT418" t="s">
        <v>5013</v>
      </c>
      <c r="AU418">
        <v>1998</v>
      </c>
      <c r="AV418">
        <v>20</v>
      </c>
      <c r="AW418">
        <v>5</v>
      </c>
      <c r="AX418" t="s">
        <v>74</v>
      </c>
      <c r="AY418" t="s">
        <v>74</v>
      </c>
      <c r="AZ418" t="s">
        <v>74</v>
      </c>
      <c r="BA418" t="s">
        <v>74</v>
      </c>
      <c r="BB418">
        <v>320</v>
      </c>
      <c r="BC418">
        <v>324</v>
      </c>
      <c r="BD418" t="s">
        <v>74</v>
      </c>
      <c r="BE418" t="s">
        <v>5860</v>
      </c>
      <c r="BF418" t="str">
        <f>HYPERLINK("http://dx.doi.org/10.1007/s003000050309","http://dx.doi.org/10.1007/s003000050309")</f>
        <v>http://dx.doi.org/10.1007/s003000050309</v>
      </c>
      <c r="BG418" t="s">
        <v>74</v>
      </c>
      <c r="BH418" t="s">
        <v>74</v>
      </c>
      <c r="BI418">
        <v>5</v>
      </c>
      <c r="BJ418" t="s">
        <v>2615</v>
      </c>
      <c r="BK418" t="s">
        <v>95</v>
      </c>
      <c r="BL418" t="s">
        <v>2616</v>
      </c>
      <c r="BM418" t="s">
        <v>5853</v>
      </c>
      <c r="BN418" t="s">
        <v>74</v>
      </c>
      <c r="BO418" t="s">
        <v>74</v>
      </c>
      <c r="BP418" t="s">
        <v>74</v>
      </c>
      <c r="BQ418" t="s">
        <v>74</v>
      </c>
      <c r="BR418" t="s">
        <v>98</v>
      </c>
      <c r="BS418" t="s">
        <v>5861</v>
      </c>
      <c r="BT418" t="str">
        <f>HYPERLINK("https%3A%2F%2Fwww.webofscience.com%2Fwos%2Fwoscc%2Ffull-record%2FWOS:000076460600004","View Full Record in Web of Science")</f>
        <v>View Full Record in Web of Science</v>
      </c>
    </row>
    <row r="419" spans="1:72" x14ac:dyDescent="0.15">
      <c r="A419" t="s">
        <v>72</v>
      </c>
      <c r="B419" t="s">
        <v>5862</v>
      </c>
      <c r="C419" t="s">
        <v>74</v>
      </c>
      <c r="D419" t="s">
        <v>74</v>
      </c>
      <c r="E419" t="s">
        <v>74</v>
      </c>
      <c r="F419" t="s">
        <v>5862</v>
      </c>
      <c r="G419" t="s">
        <v>74</v>
      </c>
      <c r="H419" t="s">
        <v>74</v>
      </c>
      <c r="I419" t="s">
        <v>5863</v>
      </c>
      <c r="J419" t="s">
        <v>2603</v>
      </c>
      <c r="K419" t="s">
        <v>74</v>
      </c>
      <c r="L419" t="s">
        <v>74</v>
      </c>
      <c r="M419" t="s">
        <v>77</v>
      </c>
      <c r="N419" t="s">
        <v>103</v>
      </c>
      <c r="O419" t="s">
        <v>74</v>
      </c>
      <c r="P419" t="s">
        <v>74</v>
      </c>
      <c r="Q419" t="s">
        <v>74</v>
      </c>
      <c r="R419" t="s">
        <v>74</v>
      </c>
      <c r="S419" t="s">
        <v>74</v>
      </c>
      <c r="T419" t="s">
        <v>74</v>
      </c>
      <c r="U419" t="s">
        <v>5864</v>
      </c>
      <c r="V419" t="s">
        <v>5865</v>
      </c>
      <c r="W419" t="s">
        <v>5866</v>
      </c>
      <c r="X419" t="s">
        <v>5867</v>
      </c>
      <c r="Y419" t="s">
        <v>5868</v>
      </c>
      <c r="Z419" t="s">
        <v>74</v>
      </c>
      <c r="AA419" t="s">
        <v>5869</v>
      </c>
      <c r="AB419" t="s">
        <v>5870</v>
      </c>
      <c r="AC419" t="s">
        <v>74</v>
      </c>
      <c r="AD419" t="s">
        <v>74</v>
      </c>
      <c r="AE419" t="s">
        <v>74</v>
      </c>
      <c r="AF419" t="s">
        <v>74</v>
      </c>
      <c r="AG419">
        <v>61</v>
      </c>
      <c r="AH419">
        <v>47</v>
      </c>
      <c r="AI419">
        <v>48</v>
      </c>
      <c r="AJ419">
        <v>0</v>
      </c>
      <c r="AK419">
        <v>8</v>
      </c>
      <c r="AL419" t="s">
        <v>887</v>
      </c>
      <c r="AM419" t="s">
        <v>278</v>
      </c>
      <c r="AN419" t="s">
        <v>888</v>
      </c>
      <c r="AO419" t="s">
        <v>2610</v>
      </c>
      <c r="AP419" t="s">
        <v>74</v>
      </c>
      <c r="AQ419" t="s">
        <v>74</v>
      </c>
      <c r="AR419" t="s">
        <v>2612</v>
      </c>
      <c r="AS419" t="s">
        <v>2613</v>
      </c>
      <c r="AT419" t="s">
        <v>5013</v>
      </c>
      <c r="AU419">
        <v>1998</v>
      </c>
      <c r="AV419">
        <v>20</v>
      </c>
      <c r="AW419">
        <v>5</v>
      </c>
      <c r="AX419" t="s">
        <v>74</v>
      </c>
      <c r="AY419" t="s">
        <v>74</v>
      </c>
      <c r="AZ419" t="s">
        <v>74</v>
      </c>
      <c r="BA419" t="s">
        <v>74</v>
      </c>
      <c r="BB419">
        <v>342</v>
      </c>
      <c r="BC419">
        <v>351</v>
      </c>
      <c r="BD419" t="s">
        <v>74</v>
      </c>
      <c r="BE419" t="s">
        <v>5871</v>
      </c>
      <c r="BF419" t="str">
        <f>HYPERLINK("http://dx.doi.org/10.1007/s003000050312","http://dx.doi.org/10.1007/s003000050312")</f>
        <v>http://dx.doi.org/10.1007/s003000050312</v>
      </c>
      <c r="BG419" t="s">
        <v>74</v>
      </c>
      <c r="BH419" t="s">
        <v>74</v>
      </c>
      <c r="BI419">
        <v>10</v>
      </c>
      <c r="BJ419" t="s">
        <v>2615</v>
      </c>
      <c r="BK419" t="s">
        <v>95</v>
      </c>
      <c r="BL419" t="s">
        <v>2616</v>
      </c>
      <c r="BM419" t="s">
        <v>5853</v>
      </c>
      <c r="BN419" t="s">
        <v>74</v>
      </c>
      <c r="BO419" t="s">
        <v>74</v>
      </c>
      <c r="BP419" t="s">
        <v>74</v>
      </c>
      <c r="BQ419" t="s">
        <v>74</v>
      </c>
      <c r="BR419" t="s">
        <v>98</v>
      </c>
      <c r="BS419" t="s">
        <v>5872</v>
      </c>
      <c r="BT419" t="str">
        <f>HYPERLINK("https%3A%2F%2Fwww.webofscience.com%2Fwos%2Fwoscc%2Ffull-record%2FWOS:000076460600007","View Full Record in Web of Science")</f>
        <v>View Full Record in Web of Science</v>
      </c>
    </row>
    <row r="420" spans="1:72" x14ac:dyDescent="0.15">
      <c r="A420" t="s">
        <v>72</v>
      </c>
      <c r="B420" t="s">
        <v>5873</v>
      </c>
      <c r="C420" t="s">
        <v>74</v>
      </c>
      <c r="D420" t="s">
        <v>74</v>
      </c>
      <c r="E420" t="s">
        <v>74</v>
      </c>
      <c r="F420" t="s">
        <v>5873</v>
      </c>
      <c r="G420" t="s">
        <v>74</v>
      </c>
      <c r="H420" t="s">
        <v>74</v>
      </c>
      <c r="I420" t="s">
        <v>5874</v>
      </c>
      <c r="J420" t="s">
        <v>2603</v>
      </c>
      <c r="K420" t="s">
        <v>74</v>
      </c>
      <c r="L420" t="s">
        <v>74</v>
      </c>
      <c r="M420" t="s">
        <v>77</v>
      </c>
      <c r="N420" t="s">
        <v>103</v>
      </c>
      <c r="O420" t="s">
        <v>74</v>
      </c>
      <c r="P420" t="s">
        <v>74</v>
      </c>
      <c r="Q420" t="s">
        <v>74</v>
      </c>
      <c r="R420" t="s">
        <v>74</v>
      </c>
      <c r="S420" t="s">
        <v>74</v>
      </c>
      <c r="T420" t="s">
        <v>74</v>
      </c>
      <c r="U420" t="s">
        <v>5875</v>
      </c>
      <c r="V420" t="s">
        <v>5876</v>
      </c>
      <c r="W420" t="s">
        <v>5877</v>
      </c>
      <c r="X420" t="s">
        <v>2492</v>
      </c>
      <c r="Y420" t="s">
        <v>5878</v>
      </c>
      <c r="Z420" t="s">
        <v>5879</v>
      </c>
      <c r="AA420" t="s">
        <v>5880</v>
      </c>
      <c r="AB420" t="s">
        <v>5881</v>
      </c>
      <c r="AC420" t="s">
        <v>74</v>
      </c>
      <c r="AD420" t="s">
        <v>74</v>
      </c>
      <c r="AE420" t="s">
        <v>74</v>
      </c>
      <c r="AF420" t="s">
        <v>74</v>
      </c>
      <c r="AG420">
        <v>23</v>
      </c>
      <c r="AH420">
        <v>5</v>
      </c>
      <c r="AI420">
        <v>5</v>
      </c>
      <c r="AJ420">
        <v>0</v>
      </c>
      <c r="AK420">
        <v>2</v>
      </c>
      <c r="AL420" t="s">
        <v>805</v>
      </c>
      <c r="AM420" t="s">
        <v>278</v>
      </c>
      <c r="AN420" t="s">
        <v>806</v>
      </c>
      <c r="AO420" t="s">
        <v>2610</v>
      </c>
      <c r="AP420" t="s">
        <v>2611</v>
      </c>
      <c r="AQ420" t="s">
        <v>74</v>
      </c>
      <c r="AR420" t="s">
        <v>2612</v>
      </c>
      <c r="AS420" t="s">
        <v>2613</v>
      </c>
      <c r="AT420" t="s">
        <v>5013</v>
      </c>
      <c r="AU420">
        <v>1998</v>
      </c>
      <c r="AV420">
        <v>20</v>
      </c>
      <c r="AW420">
        <v>5</v>
      </c>
      <c r="AX420" t="s">
        <v>74</v>
      </c>
      <c r="AY420" t="s">
        <v>74</v>
      </c>
      <c r="AZ420" t="s">
        <v>74</v>
      </c>
      <c r="BA420" t="s">
        <v>74</v>
      </c>
      <c r="BB420">
        <v>352</v>
      </c>
      <c r="BC420">
        <v>356</v>
      </c>
      <c r="BD420" t="s">
        <v>74</v>
      </c>
      <c r="BE420" t="s">
        <v>5882</v>
      </c>
      <c r="BF420" t="str">
        <f>HYPERLINK("http://dx.doi.org/10.1007/s003000050313","http://dx.doi.org/10.1007/s003000050313")</f>
        <v>http://dx.doi.org/10.1007/s003000050313</v>
      </c>
      <c r="BG420" t="s">
        <v>74</v>
      </c>
      <c r="BH420" t="s">
        <v>74</v>
      </c>
      <c r="BI420">
        <v>5</v>
      </c>
      <c r="BJ420" t="s">
        <v>2615</v>
      </c>
      <c r="BK420" t="s">
        <v>95</v>
      </c>
      <c r="BL420" t="s">
        <v>2616</v>
      </c>
      <c r="BM420" t="s">
        <v>5853</v>
      </c>
      <c r="BN420" t="s">
        <v>74</v>
      </c>
      <c r="BO420" t="s">
        <v>74</v>
      </c>
      <c r="BP420" t="s">
        <v>74</v>
      </c>
      <c r="BQ420" t="s">
        <v>74</v>
      </c>
      <c r="BR420" t="s">
        <v>98</v>
      </c>
      <c r="BS420" t="s">
        <v>5883</v>
      </c>
      <c r="BT420" t="str">
        <f>HYPERLINK("https%3A%2F%2Fwww.webofscience.com%2Fwos%2Fwoscc%2Ffull-record%2FWOS:000076460600008","View Full Record in Web of Science")</f>
        <v>View Full Record in Web of Science</v>
      </c>
    </row>
    <row r="421" spans="1:72" x14ac:dyDescent="0.15">
      <c r="A421" t="s">
        <v>72</v>
      </c>
      <c r="B421" t="s">
        <v>5884</v>
      </c>
      <c r="C421" t="s">
        <v>74</v>
      </c>
      <c r="D421" t="s">
        <v>74</v>
      </c>
      <c r="E421" t="s">
        <v>74</v>
      </c>
      <c r="F421" t="s">
        <v>5884</v>
      </c>
      <c r="G421" t="s">
        <v>74</v>
      </c>
      <c r="H421" t="s">
        <v>74</v>
      </c>
      <c r="I421" t="s">
        <v>5885</v>
      </c>
      <c r="J421" t="s">
        <v>5886</v>
      </c>
      <c r="K421" t="s">
        <v>74</v>
      </c>
      <c r="L421" t="s">
        <v>74</v>
      </c>
      <c r="M421" t="s">
        <v>77</v>
      </c>
      <c r="N421" t="s">
        <v>103</v>
      </c>
      <c r="O421" t="s">
        <v>74</v>
      </c>
      <c r="P421" t="s">
        <v>74</v>
      </c>
      <c r="Q421" t="s">
        <v>74</v>
      </c>
      <c r="R421" t="s">
        <v>74</v>
      </c>
      <c r="S421" t="s">
        <v>74</v>
      </c>
      <c r="T421" t="s">
        <v>74</v>
      </c>
      <c r="U421" t="s">
        <v>5887</v>
      </c>
      <c r="V421" t="s">
        <v>5888</v>
      </c>
      <c r="W421" t="s">
        <v>5889</v>
      </c>
      <c r="X421" t="s">
        <v>5890</v>
      </c>
      <c r="Y421" t="s">
        <v>5891</v>
      </c>
      <c r="Z421" t="s">
        <v>74</v>
      </c>
      <c r="AA421" t="s">
        <v>74</v>
      </c>
      <c r="AB421" t="s">
        <v>74</v>
      </c>
      <c r="AC421" t="s">
        <v>74</v>
      </c>
      <c r="AD421" t="s">
        <v>74</v>
      </c>
      <c r="AE421" t="s">
        <v>74</v>
      </c>
      <c r="AF421" t="s">
        <v>74</v>
      </c>
      <c r="AG421">
        <v>30</v>
      </c>
      <c r="AH421">
        <v>11</v>
      </c>
      <c r="AI421">
        <v>13</v>
      </c>
      <c r="AJ421">
        <v>0</v>
      </c>
      <c r="AK421">
        <v>0</v>
      </c>
      <c r="AL421" t="s">
        <v>966</v>
      </c>
      <c r="AM421" t="s">
        <v>967</v>
      </c>
      <c r="AN421" t="s">
        <v>968</v>
      </c>
      <c r="AO421" t="s">
        <v>5892</v>
      </c>
      <c r="AP421" t="s">
        <v>74</v>
      </c>
      <c r="AQ421" t="s">
        <v>74</v>
      </c>
      <c r="AR421" t="s">
        <v>5893</v>
      </c>
      <c r="AS421" t="s">
        <v>5894</v>
      </c>
      <c r="AT421" t="s">
        <v>5063</v>
      </c>
      <c r="AU421">
        <v>1998</v>
      </c>
      <c r="AV421">
        <v>33</v>
      </c>
      <c r="AW421">
        <v>6</v>
      </c>
      <c r="AX421" t="s">
        <v>74</v>
      </c>
      <c r="AY421" t="s">
        <v>74</v>
      </c>
      <c r="AZ421" t="s">
        <v>74</v>
      </c>
      <c r="BA421" t="s">
        <v>74</v>
      </c>
      <c r="BB421">
        <v>1705</v>
      </c>
      <c r="BC421">
        <v>1726</v>
      </c>
      <c r="BD421" t="s">
        <v>74</v>
      </c>
      <c r="BE421" t="s">
        <v>5895</v>
      </c>
      <c r="BF421" t="str">
        <f>HYPERLINK("http://dx.doi.org/10.1029/98RS01856","http://dx.doi.org/10.1029/98RS01856")</f>
        <v>http://dx.doi.org/10.1029/98RS01856</v>
      </c>
      <c r="BG421" t="s">
        <v>74</v>
      </c>
      <c r="BH421" t="s">
        <v>74</v>
      </c>
      <c r="BI421">
        <v>22</v>
      </c>
      <c r="BJ421" t="s">
        <v>5896</v>
      </c>
      <c r="BK421" t="s">
        <v>95</v>
      </c>
      <c r="BL421" t="s">
        <v>5896</v>
      </c>
      <c r="BM421" t="s">
        <v>5897</v>
      </c>
      <c r="BN421" t="s">
        <v>74</v>
      </c>
      <c r="BO421" t="s">
        <v>1089</v>
      </c>
      <c r="BP421" t="s">
        <v>74</v>
      </c>
      <c r="BQ421" t="s">
        <v>74</v>
      </c>
      <c r="BR421" t="s">
        <v>98</v>
      </c>
      <c r="BS421" t="s">
        <v>5898</v>
      </c>
      <c r="BT421" t="str">
        <f>HYPERLINK("https%3A%2F%2Fwww.webofscience.com%2Fwos%2Fwoscc%2Ffull-record%2FWOS:000077365500017","View Full Record in Web of Science")</f>
        <v>View Full Record in Web of Science</v>
      </c>
    </row>
    <row r="422" spans="1:72" x14ac:dyDescent="0.15">
      <c r="A422" t="s">
        <v>72</v>
      </c>
      <c r="B422" t="s">
        <v>5899</v>
      </c>
      <c r="C422" t="s">
        <v>74</v>
      </c>
      <c r="D422" t="s">
        <v>74</v>
      </c>
      <c r="E422" t="s">
        <v>74</v>
      </c>
      <c r="F422" t="s">
        <v>5899</v>
      </c>
      <c r="G422" t="s">
        <v>74</v>
      </c>
      <c r="H422" t="s">
        <v>74</v>
      </c>
      <c r="I422" t="s">
        <v>5900</v>
      </c>
      <c r="J422" t="s">
        <v>5886</v>
      </c>
      <c r="K422" t="s">
        <v>74</v>
      </c>
      <c r="L422" t="s">
        <v>74</v>
      </c>
      <c r="M422" t="s">
        <v>77</v>
      </c>
      <c r="N422" t="s">
        <v>123</v>
      </c>
      <c r="O422" t="s">
        <v>5901</v>
      </c>
      <c r="P422" t="s">
        <v>5902</v>
      </c>
      <c r="Q422" t="s">
        <v>5903</v>
      </c>
      <c r="R422" t="s">
        <v>74</v>
      </c>
      <c r="S422" t="s">
        <v>74</v>
      </c>
      <c r="T422" t="s">
        <v>74</v>
      </c>
      <c r="U422" t="s">
        <v>5904</v>
      </c>
      <c r="V422" t="s">
        <v>5905</v>
      </c>
      <c r="W422" t="s">
        <v>5906</v>
      </c>
      <c r="X422" t="s">
        <v>577</v>
      </c>
      <c r="Y422" t="s">
        <v>5907</v>
      </c>
      <c r="Z422" t="s">
        <v>74</v>
      </c>
      <c r="AA422" t="s">
        <v>74</v>
      </c>
      <c r="AB422" t="s">
        <v>74</v>
      </c>
      <c r="AC422" t="s">
        <v>74</v>
      </c>
      <c r="AD422" t="s">
        <v>74</v>
      </c>
      <c r="AE422" t="s">
        <v>74</v>
      </c>
      <c r="AF422" t="s">
        <v>74</v>
      </c>
      <c r="AG422">
        <v>15</v>
      </c>
      <c r="AH422">
        <v>5</v>
      </c>
      <c r="AI422">
        <v>5</v>
      </c>
      <c r="AJ422">
        <v>0</v>
      </c>
      <c r="AK422">
        <v>1</v>
      </c>
      <c r="AL422" t="s">
        <v>966</v>
      </c>
      <c r="AM422" t="s">
        <v>967</v>
      </c>
      <c r="AN422" t="s">
        <v>968</v>
      </c>
      <c r="AO422" t="s">
        <v>5892</v>
      </c>
      <c r="AP422" t="s">
        <v>74</v>
      </c>
      <c r="AQ422" t="s">
        <v>74</v>
      </c>
      <c r="AR422" t="s">
        <v>5893</v>
      </c>
      <c r="AS422" t="s">
        <v>5894</v>
      </c>
      <c r="AT422" t="s">
        <v>5063</v>
      </c>
      <c r="AU422">
        <v>1998</v>
      </c>
      <c r="AV422">
        <v>33</v>
      </c>
      <c r="AW422">
        <v>6</v>
      </c>
      <c r="AX422" t="s">
        <v>74</v>
      </c>
      <c r="AY422" t="s">
        <v>74</v>
      </c>
      <c r="AZ422" t="s">
        <v>74</v>
      </c>
      <c r="BA422" t="s">
        <v>74</v>
      </c>
      <c r="BB422">
        <v>1877</v>
      </c>
      <c r="BC422">
        <v>1884</v>
      </c>
      <c r="BD422" t="s">
        <v>74</v>
      </c>
      <c r="BE422" t="s">
        <v>5908</v>
      </c>
      <c r="BF422" t="str">
        <f>HYPERLINK("http://dx.doi.org/10.1029/98RS02446","http://dx.doi.org/10.1029/98RS02446")</f>
        <v>http://dx.doi.org/10.1029/98RS02446</v>
      </c>
      <c r="BG422" t="s">
        <v>74</v>
      </c>
      <c r="BH422" t="s">
        <v>74</v>
      </c>
      <c r="BI422">
        <v>8</v>
      </c>
      <c r="BJ422" t="s">
        <v>5896</v>
      </c>
      <c r="BK422" t="s">
        <v>235</v>
      </c>
      <c r="BL422" t="s">
        <v>5896</v>
      </c>
      <c r="BM422" t="s">
        <v>5897</v>
      </c>
      <c r="BN422" t="s">
        <v>74</v>
      </c>
      <c r="BO422" t="s">
        <v>1089</v>
      </c>
      <c r="BP422" t="s">
        <v>74</v>
      </c>
      <c r="BQ422" t="s">
        <v>74</v>
      </c>
      <c r="BR422" t="s">
        <v>98</v>
      </c>
      <c r="BS422" t="s">
        <v>5909</v>
      </c>
      <c r="BT422" t="str">
        <f>HYPERLINK("https%3A%2F%2Fwww.webofscience.com%2Fwos%2Fwoscc%2Ffull-record%2FWOS:000077365500030","View Full Record in Web of Science")</f>
        <v>View Full Record in Web of Science</v>
      </c>
    </row>
    <row r="423" spans="1:72" x14ac:dyDescent="0.15">
      <c r="A423" t="s">
        <v>72</v>
      </c>
      <c r="B423" t="s">
        <v>5910</v>
      </c>
      <c r="C423" t="s">
        <v>74</v>
      </c>
      <c r="D423" t="s">
        <v>74</v>
      </c>
      <c r="E423" t="s">
        <v>74</v>
      </c>
      <c r="F423" t="s">
        <v>5910</v>
      </c>
      <c r="G423" t="s">
        <v>74</v>
      </c>
      <c r="H423" t="s">
        <v>74</v>
      </c>
      <c r="I423" t="s">
        <v>5911</v>
      </c>
      <c r="J423" t="s">
        <v>3445</v>
      </c>
      <c r="K423" t="s">
        <v>74</v>
      </c>
      <c r="L423" t="s">
        <v>74</v>
      </c>
      <c r="M423" t="s">
        <v>77</v>
      </c>
      <c r="N423" t="s">
        <v>2667</v>
      </c>
      <c r="O423" t="s">
        <v>74</v>
      </c>
      <c r="P423" t="s">
        <v>74</v>
      </c>
      <c r="Q423" t="s">
        <v>74</v>
      </c>
      <c r="R423" t="s">
        <v>74</v>
      </c>
      <c r="S423" t="s">
        <v>74</v>
      </c>
      <c r="T423" t="s">
        <v>74</v>
      </c>
      <c r="U423" t="s">
        <v>74</v>
      </c>
      <c r="V423" t="s">
        <v>74</v>
      </c>
      <c r="W423" t="s">
        <v>5912</v>
      </c>
      <c r="X423" t="s">
        <v>5913</v>
      </c>
      <c r="Y423" t="s">
        <v>5914</v>
      </c>
      <c r="Z423" t="s">
        <v>74</v>
      </c>
      <c r="AA423" t="s">
        <v>5915</v>
      </c>
      <c r="AB423" t="s">
        <v>5916</v>
      </c>
      <c r="AC423" t="s">
        <v>74</v>
      </c>
      <c r="AD423" t="s">
        <v>74</v>
      </c>
      <c r="AE423" t="s">
        <v>74</v>
      </c>
      <c r="AF423" t="s">
        <v>74</v>
      </c>
      <c r="AG423">
        <v>4</v>
      </c>
      <c r="AH423">
        <v>5</v>
      </c>
      <c r="AI423">
        <v>5</v>
      </c>
      <c r="AJ423">
        <v>1</v>
      </c>
      <c r="AK423">
        <v>7</v>
      </c>
      <c r="AL423" t="s">
        <v>3471</v>
      </c>
      <c r="AM423" t="s">
        <v>3472</v>
      </c>
      <c r="AN423" t="s">
        <v>3473</v>
      </c>
      <c r="AO423" t="s">
        <v>3457</v>
      </c>
      <c r="AP423" t="s">
        <v>74</v>
      </c>
      <c r="AQ423" t="s">
        <v>74</v>
      </c>
      <c r="AR423" t="s">
        <v>3459</v>
      </c>
      <c r="AS423" t="s">
        <v>3460</v>
      </c>
      <c r="AT423" t="s">
        <v>5063</v>
      </c>
      <c r="AU423">
        <v>1998</v>
      </c>
      <c r="AV423">
        <v>94</v>
      </c>
      <c r="AW423">
        <v>11</v>
      </c>
      <c r="AX423" t="s">
        <v>74</v>
      </c>
      <c r="AY423" t="s">
        <v>74</v>
      </c>
      <c r="AZ423" t="s">
        <v>74</v>
      </c>
      <c r="BA423" t="s">
        <v>74</v>
      </c>
      <c r="BB423">
        <v>517</v>
      </c>
      <c r="BC423">
        <v>519</v>
      </c>
      <c r="BD423" t="s">
        <v>74</v>
      </c>
      <c r="BE423" t="s">
        <v>74</v>
      </c>
      <c r="BF423" t="s">
        <v>74</v>
      </c>
      <c r="BG423" t="s">
        <v>74</v>
      </c>
      <c r="BH423" t="s">
        <v>74</v>
      </c>
      <c r="BI423">
        <v>3</v>
      </c>
      <c r="BJ423" t="s">
        <v>3377</v>
      </c>
      <c r="BK423" t="s">
        <v>95</v>
      </c>
      <c r="BL423" t="s">
        <v>3378</v>
      </c>
      <c r="BM423" t="s">
        <v>5917</v>
      </c>
      <c r="BN423" t="s">
        <v>74</v>
      </c>
      <c r="BO423" t="s">
        <v>74</v>
      </c>
      <c r="BP423" t="s">
        <v>74</v>
      </c>
      <c r="BQ423" t="s">
        <v>74</v>
      </c>
      <c r="BR423" t="s">
        <v>98</v>
      </c>
      <c r="BS423" t="s">
        <v>5918</v>
      </c>
      <c r="BT423" t="str">
        <f>HYPERLINK("https%3A%2F%2Fwww.webofscience.com%2Fwos%2Fwoscc%2Ffull-record%2FWOS:000078219900002","View Full Record in Web of Science")</f>
        <v>View Full Record in Web of Science</v>
      </c>
    </row>
    <row r="424" spans="1:72" x14ac:dyDescent="0.15">
      <c r="A424" t="s">
        <v>72</v>
      </c>
      <c r="B424" t="s">
        <v>5919</v>
      </c>
      <c r="C424" t="s">
        <v>74</v>
      </c>
      <c r="D424" t="s">
        <v>74</v>
      </c>
      <c r="E424" t="s">
        <v>74</v>
      </c>
      <c r="F424" t="s">
        <v>5919</v>
      </c>
      <c r="G424" t="s">
        <v>74</v>
      </c>
      <c r="H424" t="s">
        <v>74</v>
      </c>
      <c r="I424" t="s">
        <v>5920</v>
      </c>
      <c r="J424" t="s">
        <v>5921</v>
      </c>
      <c r="K424" t="s">
        <v>74</v>
      </c>
      <c r="L424" t="s">
        <v>74</v>
      </c>
      <c r="M424" t="s">
        <v>77</v>
      </c>
      <c r="N424" t="s">
        <v>103</v>
      </c>
      <c r="O424" t="s">
        <v>74</v>
      </c>
      <c r="P424" t="s">
        <v>74</v>
      </c>
      <c r="Q424" t="s">
        <v>74</v>
      </c>
      <c r="R424" t="s">
        <v>74</v>
      </c>
      <c r="S424" t="s">
        <v>74</v>
      </c>
      <c r="T424" t="s">
        <v>5922</v>
      </c>
      <c r="U424" t="s">
        <v>5923</v>
      </c>
      <c r="V424" t="s">
        <v>5924</v>
      </c>
      <c r="W424" t="s">
        <v>5925</v>
      </c>
      <c r="X424" t="s">
        <v>5926</v>
      </c>
      <c r="Y424" t="s">
        <v>5927</v>
      </c>
      <c r="Z424" t="s">
        <v>74</v>
      </c>
      <c r="AA424" t="s">
        <v>74</v>
      </c>
      <c r="AB424" t="s">
        <v>5928</v>
      </c>
      <c r="AC424" t="s">
        <v>74</v>
      </c>
      <c r="AD424" t="s">
        <v>74</v>
      </c>
      <c r="AE424" t="s">
        <v>74</v>
      </c>
      <c r="AF424" t="s">
        <v>74</v>
      </c>
      <c r="AG424">
        <v>16</v>
      </c>
      <c r="AH424">
        <v>21</v>
      </c>
      <c r="AI424">
        <v>22</v>
      </c>
      <c r="AJ424">
        <v>0</v>
      </c>
      <c r="AK424">
        <v>15</v>
      </c>
      <c r="AL424" t="s">
        <v>1037</v>
      </c>
      <c r="AM424" t="s">
        <v>1038</v>
      </c>
      <c r="AN424" t="s">
        <v>1039</v>
      </c>
      <c r="AO424" t="s">
        <v>5929</v>
      </c>
      <c r="AP424" t="s">
        <v>74</v>
      </c>
      <c r="AQ424" t="s">
        <v>74</v>
      </c>
      <c r="AR424" t="s">
        <v>5921</v>
      </c>
      <c r="AS424" t="s">
        <v>5930</v>
      </c>
      <c r="AT424" t="s">
        <v>5013</v>
      </c>
      <c r="AU424">
        <v>1998</v>
      </c>
      <c r="AV424">
        <v>47</v>
      </c>
      <c r="AW424">
        <v>3</v>
      </c>
      <c r="AX424" t="s">
        <v>74</v>
      </c>
      <c r="AY424" t="s">
        <v>74</v>
      </c>
      <c r="AZ424" t="s">
        <v>74</v>
      </c>
      <c r="BA424" t="s">
        <v>74</v>
      </c>
      <c r="BB424">
        <v>803</v>
      </c>
      <c r="BC424">
        <v>809</v>
      </c>
      <c r="BD424" t="s">
        <v>74</v>
      </c>
      <c r="BE424" t="s">
        <v>5931</v>
      </c>
      <c r="BF424" t="str">
        <f>HYPERLINK("http://dx.doi.org/10.1016/S0039-9140(98)00128-3","http://dx.doi.org/10.1016/S0039-9140(98)00128-3")</f>
        <v>http://dx.doi.org/10.1016/S0039-9140(98)00128-3</v>
      </c>
      <c r="BG424" t="s">
        <v>74</v>
      </c>
      <c r="BH424" t="s">
        <v>74</v>
      </c>
      <c r="BI424">
        <v>7</v>
      </c>
      <c r="BJ424" t="s">
        <v>3602</v>
      </c>
      <c r="BK424" t="s">
        <v>95</v>
      </c>
      <c r="BL424" t="s">
        <v>1284</v>
      </c>
      <c r="BM424" t="s">
        <v>5932</v>
      </c>
      <c r="BN424">
        <v>18967385</v>
      </c>
      <c r="BO424" t="s">
        <v>74</v>
      </c>
      <c r="BP424" t="s">
        <v>74</v>
      </c>
      <c r="BQ424" t="s">
        <v>74</v>
      </c>
      <c r="BR424" t="s">
        <v>98</v>
      </c>
      <c r="BS424" t="s">
        <v>5933</v>
      </c>
      <c r="BT424" t="str">
        <f>HYPERLINK("https%3A%2F%2Fwww.webofscience.com%2Fwos%2Fwoscc%2Ffull-record%2FWOS:000076727800033","View Full Record in Web of Science")</f>
        <v>View Full Record in Web of Science</v>
      </c>
    </row>
    <row r="425" spans="1:72" x14ac:dyDescent="0.15">
      <c r="A425" t="s">
        <v>72</v>
      </c>
      <c r="B425" t="s">
        <v>5934</v>
      </c>
      <c r="C425" t="s">
        <v>74</v>
      </c>
      <c r="D425" t="s">
        <v>74</v>
      </c>
      <c r="E425" t="s">
        <v>74</v>
      </c>
      <c r="F425" t="s">
        <v>5934</v>
      </c>
      <c r="G425" t="s">
        <v>74</v>
      </c>
      <c r="H425" t="s">
        <v>74</v>
      </c>
      <c r="I425" t="s">
        <v>5935</v>
      </c>
      <c r="J425" t="s">
        <v>5936</v>
      </c>
      <c r="K425" t="s">
        <v>74</v>
      </c>
      <c r="L425" t="s">
        <v>74</v>
      </c>
      <c r="M425" t="s">
        <v>77</v>
      </c>
      <c r="N425" t="s">
        <v>103</v>
      </c>
      <c r="O425" t="s">
        <v>74</v>
      </c>
      <c r="P425" t="s">
        <v>74</v>
      </c>
      <c r="Q425" t="s">
        <v>74</v>
      </c>
      <c r="R425" t="s">
        <v>74</v>
      </c>
      <c r="S425" t="s">
        <v>74</v>
      </c>
      <c r="T425" t="s">
        <v>74</v>
      </c>
      <c r="U425" t="s">
        <v>5937</v>
      </c>
      <c r="V425" t="s">
        <v>5938</v>
      </c>
      <c r="W425" t="s">
        <v>5939</v>
      </c>
      <c r="X425" t="s">
        <v>5940</v>
      </c>
      <c r="Y425" t="s">
        <v>5941</v>
      </c>
      <c r="Z425" t="s">
        <v>5942</v>
      </c>
      <c r="AA425" t="s">
        <v>5943</v>
      </c>
      <c r="AB425" t="s">
        <v>5944</v>
      </c>
      <c r="AC425" t="s">
        <v>74</v>
      </c>
      <c r="AD425" t="s">
        <v>74</v>
      </c>
      <c r="AE425" t="s">
        <v>74</v>
      </c>
      <c r="AF425" t="s">
        <v>74</v>
      </c>
      <c r="AG425">
        <v>71</v>
      </c>
      <c r="AH425">
        <v>15</v>
      </c>
      <c r="AI425">
        <v>15</v>
      </c>
      <c r="AJ425">
        <v>0</v>
      </c>
      <c r="AK425">
        <v>4</v>
      </c>
      <c r="AL425" t="s">
        <v>2811</v>
      </c>
      <c r="AM425" t="s">
        <v>2812</v>
      </c>
      <c r="AN425" t="s">
        <v>2813</v>
      </c>
      <c r="AO425" t="s">
        <v>5945</v>
      </c>
      <c r="AP425" t="s">
        <v>74</v>
      </c>
      <c r="AQ425" t="s">
        <v>74</v>
      </c>
      <c r="AR425" t="s">
        <v>5946</v>
      </c>
      <c r="AS425" t="s">
        <v>5947</v>
      </c>
      <c r="AT425" t="s">
        <v>5013</v>
      </c>
      <c r="AU425">
        <v>1998</v>
      </c>
      <c r="AV425">
        <v>50</v>
      </c>
      <c r="AW425">
        <v>5</v>
      </c>
      <c r="AX425" t="s">
        <v>74</v>
      </c>
      <c r="AY425" t="s">
        <v>74</v>
      </c>
      <c r="AZ425" t="s">
        <v>74</v>
      </c>
      <c r="BA425" t="s">
        <v>74</v>
      </c>
      <c r="BB425">
        <v>430</v>
      </c>
      <c r="BC425">
        <v>448</v>
      </c>
      <c r="BD425" t="s">
        <v>74</v>
      </c>
      <c r="BE425" t="s">
        <v>5948</v>
      </c>
      <c r="BF425" t="str">
        <f>HYPERLINK("http://dx.doi.org/10.1034/j.1600-0889.1998.t01-4-00003.x","http://dx.doi.org/10.1034/j.1600-0889.1998.t01-4-00003.x")</f>
        <v>http://dx.doi.org/10.1034/j.1600-0889.1998.t01-4-00003.x</v>
      </c>
      <c r="BG425" t="s">
        <v>74</v>
      </c>
      <c r="BH425" t="s">
        <v>74</v>
      </c>
      <c r="BI425">
        <v>19</v>
      </c>
      <c r="BJ425" t="s">
        <v>1418</v>
      </c>
      <c r="BK425" t="s">
        <v>95</v>
      </c>
      <c r="BL425" t="s">
        <v>1418</v>
      </c>
      <c r="BM425" t="s">
        <v>5949</v>
      </c>
      <c r="BN425" t="s">
        <v>74</v>
      </c>
      <c r="BO425" t="s">
        <v>74</v>
      </c>
      <c r="BP425" t="s">
        <v>74</v>
      </c>
      <c r="BQ425" t="s">
        <v>74</v>
      </c>
      <c r="BR425" t="s">
        <v>98</v>
      </c>
      <c r="BS425" t="s">
        <v>5950</v>
      </c>
      <c r="BT425" t="str">
        <f>HYPERLINK("https%3A%2F%2Fwww.webofscience.com%2Fwos%2Fwoscc%2Ffull-record%2FWOS:000078421400003","View Full Record in Web of Science")</f>
        <v>View Full Record in Web of Science</v>
      </c>
    </row>
    <row r="426" spans="1:72" x14ac:dyDescent="0.15">
      <c r="A426" t="s">
        <v>72</v>
      </c>
      <c r="B426" t="s">
        <v>5951</v>
      </c>
      <c r="C426" t="s">
        <v>74</v>
      </c>
      <c r="D426" t="s">
        <v>74</v>
      </c>
      <c r="E426" t="s">
        <v>74</v>
      </c>
      <c r="F426" t="s">
        <v>5951</v>
      </c>
      <c r="G426" t="s">
        <v>74</v>
      </c>
      <c r="H426" t="s">
        <v>74</v>
      </c>
      <c r="I426" t="s">
        <v>5952</v>
      </c>
      <c r="J426" t="s">
        <v>5953</v>
      </c>
      <c r="K426" t="s">
        <v>74</v>
      </c>
      <c r="L426" t="s">
        <v>74</v>
      </c>
      <c r="M426" t="s">
        <v>77</v>
      </c>
      <c r="N426" t="s">
        <v>1545</v>
      </c>
      <c r="O426" t="s">
        <v>74</v>
      </c>
      <c r="P426" t="s">
        <v>74</v>
      </c>
      <c r="Q426" t="s">
        <v>74</v>
      </c>
      <c r="R426" t="s">
        <v>74</v>
      </c>
      <c r="S426" t="s">
        <v>74</v>
      </c>
      <c r="T426" t="s">
        <v>74</v>
      </c>
      <c r="U426" t="s">
        <v>74</v>
      </c>
      <c r="V426" t="s">
        <v>74</v>
      </c>
      <c r="W426" t="s">
        <v>5954</v>
      </c>
      <c r="X426" t="s">
        <v>5955</v>
      </c>
      <c r="Y426" t="s">
        <v>74</v>
      </c>
      <c r="Z426" t="s">
        <v>74</v>
      </c>
      <c r="AA426" t="s">
        <v>74</v>
      </c>
      <c r="AB426" t="s">
        <v>74</v>
      </c>
      <c r="AC426" t="s">
        <v>74</v>
      </c>
      <c r="AD426" t="s">
        <v>74</v>
      </c>
      <c r="AE426" t="s">
        <v>74</v>
      </c>
      <c r="AF426" t="s">
        <v>74</v>
      </c>
      <c r="AG426">
        <v>0</v>
      </c>
      <c r="AH426">
        <v>0</v>
      </c>
      <c r="AI426">
        <v>0</v>
      </c>
      <c r="AJ426">
        <v>0</v>
      </c>
      <c r="AK426">
        <v>0</v>
      </c>
      <c r="AL426" t="s">
        <v>5956</v>
      </c>
      <c r="AM426" t="s">
        <v>278</v>
      </c>
      <c r="AN426" t="s">
        <v>5957</v>
      </c>
      <c r="AO426" t="s">
        <v>5958</v>
      </c>
      <c r="AP426" t="s">
        <v>74</v>
      </c>
      <c r="AQ426" t="s">
        <v>74</v>
      </c>
      <c r="AR426" t="s">
        <v>5959</v>
      </c>
      <c r="AS426" t="s">
        <v>5960</v>
      </c>
      <c r="AT426" t="s">
        <v>5961</v>
      </c>
      <c r="AU426">
        <v>1998</v>
      </c>
      <c r="AV426">
        <v>149</v>
      </c>
      <c r="AW426">
        <v>17</v>
      </c>
      <c r="AX426" t="s">
        <v>74</v>
      </c>
      <c r="AY426" t="s">
        <v>74</v>
      </c>
      <c r="AZ426" t="s">
        <v>74</v>
      </c>
      <c r="BA426" t="s">
        <v>74</v>
      </c>
      <c r="BB426">
        <v>6</v>
      </c>
      <c r="BC426">
        <v>6</v>
      </c>
      <c r="BD426" t="s">
        <v>74</v>
      </c>
      <c r="BE426" t="s">
        <v>74</v>
      </c>
      <c r="BF426" t="s">
        <v>74</v>
      </c>
      <c r="BG426" t="s">
        <v>74</v>
      </c>
      <c r="BH426" t="s">
        <v>74</v>
      </c>
      <c r="BI426">
        <v>1</v>
      </c>
      <c r="BJ426" t="s">
        <v>434</v>
      </c>
      <c r="BK426" t="s">
        <v>95</v>
      </c>
      <c r="BL426" t="s">
        <v>321</v>
      </c>
      <c r="BM426" t="s">
        <v>5962</v>
      </c>
      <c r="BN426" t="s">
        <v>74</v>
      </c>
      <c r="BO426" t="s">
        <v>74</v>
      </c>
      <c r="BP426" t="s">
        <v>74</v>
      </c>
      <c r="BQ426" t="s">
        <v>74</v>
      </c>
      <c r="BR426" t="s">
        <v>98</v>
      </c>
      <c r="BS426" t="s">
        <v>5963</v>
      </c>
      <c r="BT426" t="str">
        <f>HYPERLINK("https%3A%2F%2Fwww.webofscience.com%2Fwos%2Fwoscc%2Ffull-record%2FWOS:000076614000005","View Full Record in Web of Science")</f>
        <v>View Full Record in Web of Science</v>
      </c>
    </row>
    <row r="427" spans="1:72" x14ac:dyDescent="0.15">
      <c r="A427" t="s">
        <v>72</v>
      </c>
      <c r="B427" t="s">
        <v>5964</v>
      </c>
      <c r="C427" t="s">
        <v>74</v>
      </c>
      <c r="D427" t="s">
        <v>74</v>
      </c>
      <c r="E427" t="s">
        <v>74</v>
      </c>
      <c r="F427" t="s">
        <v>5964</v>
      </c>
      <c r="G427" t="s">
        <v>74</v>
      </c>
      <c r="H427" t="s">
        <v>74</v>
      </c>
      <c r="I427" t="s">
        <v>5965</v>
      </c>
      <c r="J427" t="s">
        <v>4821</v>
      </c>
      <c r="K427" t="s">
        <v>74</v>
      </c>
      <c r="L427" t="s">
        <v>74</v>
      </c>
      <c r="M427" t="s">
        <v>77</v>
      </c>
      <c r="N427" t="s">
        <v>103</v>
      </c>
      <c r="O427" t="s">
        <v>74</v>
      </c>
      <c r="P427" t="s">
        <v>74</v>
      </c>
      <c r="Q427" t="s">
        <v>74</v>
      </c>
      <c r="R427" t="s">
        <v>74</v>
      </c>
      <c r="S427" t="s">
        <v>74</v>
      </c>
      <c r="T427" t="s">
        <v>74</v>
      </c>
      <c r="U427" t="s">
        <v>5966</v>
      </c>
      <c r="V427" t="s">
        <v>5967</v>
      </c>
      <c r="W427" t="s">
        <v>5968</v>
      </c>
      <c r="X427" t="s">
        <v>5969</v>
      </c>
      <c r="Y427" t="s">
        <v>5970</v>
      </c>
      <c r="Z427" t="s">
        <v>5971</v>
      </c>
      <c r="AA427" t="s">
        <v>74</v>
      </c>
      <c r="AB427" t="s">
        <v>74</v>
      </c>
      <c r="AC427" t="s">
        <v>74</v>
      </c>
      <c r="AD427" t="s">
        <v>74</v>
      </c>
      <c r="AE427" t="s">
        <v>74</v>
      </c>
      <c r="AF427" t="s">
        <v>74</v>
      </c>
      <c r="AG427">
        <v>52</v>
      </c>
      <c r="AH427">
        <v>204</v>
      </c>
      <c r="AI427">
        <v>222</v>
      </c>
      <c r="AJ427">
        <v>0</v>
      </c>
      <c r="AK427">
        <v>28</v>
      </c>
      <c r="AL427" t="s">
        <v>966</v>
      </c>
      <c r="AM427" t="s">
        <v>967</v>
      </c>
      <c r="AN427" t="s">
        <v>968</v>
      </c>
      <c r="AO427" t="s">
        <v>4829</v>
      </c>
      <c r="AP427" t="s">
        <v>4830</v>
      </c>
      <c r="AQ427" t="s">
        <v>74</v>
      </c>
      <c r="AR427" t="s">
        <v>4831</v>
      </c>
      <c r="AS427" t="s">
        <v>4832</v>
      </c>
      <c r="AT427" t="s">
        <v>5972</v>
      </c>
      <c r="AU427">
        <v>1998</v>
      </c>
      <c r="AV427">
        <v>103</v>
      </c>
      <c r="AW427" t="s">
        <v>5973</v>
      </c>
      <c r="AX427" t="s">
        <v>74</v>
      </c>
      <c r="AY427" t="s">
        <v>74</v>
      </c>
      <c r="AZ427" t="s">
        <v>74</v>
      </c>
      <c r="BA427" t="s">
        <v>74</v>
      </c>
      <c r="BB427">
        <v>25789</v>
      </c>
      <c r="BC427">
        <v>25807</v>
      </c>
      <c r="BD427" t="s">
        <v>74</v>
      </c>
      <c r="BE427" t="s">
        <v>5974</v>
      </c>
      <c r="BF427" t="str">
        <f>HYPERLINK("http://dx.doi.org/10.1029/98JE01898","http://dx.doi.org/10.1029/98JE01898")</f>
        <v>http://dx.doi.org/10.1029/98JE01898</v>
      </c>
      <c r="BG427" t="s">
        <v>74</v>
      </c>
      <c r="BH427" t="s">
        <v>74</v>
      </c>
      <c r="BI427">
        <v>19</v>
      </c>
      <c r="BJ427" t="s">
        <v>303</v>
      </c>
      <c r="BK427" t="s">
        <v>95</v>
      </c>
      <c r="BL427" t="s">
        <v>303</v>
      </c>
      <c r="BM427" t="s">
        <v>5975</v>
      </c>
      <c r="BN427" t="s">
        <v>74</v>
      </c>
      <c r="BO427" t="s">
        <v>74</v>
      </c>
      <c r="BP427" t="s">
        <v>74</v>
      </c>
      <c r="BQ427" t="s">
        <v>74</v>
      </c>
      <c r="BR427" t="s">
        <v>98</v>
      </c>
      <c r="BS427" t="s">
        <v>5976</v>
      </c>
      <c r="BT427" t="str">
        <f>HYPERLINK("https%3A%2F%2Fwww.webofscience.com%2Fwos%2Fwoscc%2Ffull-record%2FWOS:000078713100006","View Full Record in Web of Science")</f>
        <v>View Full Record in Web of Science</v>
      </c>
    </row>
    <row r="428" spans="1:72" x14ac:dyDescent="0.15">
      <c r="A428" t="s">
        <v>72</v>
      </c>
      <c r="B428" t="s">
        <v>5977</v>
      </c>
      <c r="C428" t="s">
        <v>74</v>
      </c>
      <c r="D428" t="s">
        <v>74</v>
      </c>
      <c r="E428" t="s">
        <v>74</v>
      </c>
      <c r="F428" t="s">
        <v>5977</v>
      </c>
      <c r="G428" t="s">
        <v>74</v>
      </c>
      <c r="H428" t="s">
        <v>74</v>
      </c>
      <c r="I428" t="s">
        <v>5978</v>
      </c>
      <c r="J428" t="s">
        <v>4802</v>
      </c>
      <c r="K428" t="s">
        <v>74</v>
      </c>
      <c r="L428" t="s">
        <v>74</v>
      </c>
      <c r="M428" t="s">
        <v>77</v>
      </c>
      <c r="N428" t="s">
        <v>103</v>
      </c>
      <c r="O428" t="s">
        <v>74</v>
      </c>
      <c r="P428" t="s">
        <v>74</v>
      </c>
      <c r="Q428" t="s">
        <v>74</v>
      </c>
      <c r="R428" t="s">
        <v>74</v>
      </c>
      <c r="S428" t="s">
        <v>74</v>
      </c>
      <c r="T428" t="s">
        <v>74</v>
      </c>
      <c r="U428" t="s">
        <v>5979</v>
      </c>
      <c r="V428" t="s">
        <v>5980</v>
      </c>
      <c r="W428" t="s">
        <v>5981</v>
      </c>
      <c r="X428" t="s">
        <v>5982</v>
      </c>
      <c r="Y428" t="s">
        <v>5983</v>
      </c>
      <c r="Z428" t="s">
        <v>5984</v>
      </c>
      <c r="AA428" t="s">
        <v>5985</v>
      </c>
      <c r="AB428" t="s">
        <v>5986</v>
      </c>
      <c r="AC428" t="s">
        <v>74</v>
      </c>
      <c r="AD428" t="s">
        <v>74</v>
      </c>
      <c r="AE428" t="s">
        <v>74</v>
      </c>
      <c r="AF428" t="s">
        <v>74</v>
      </c>
      <c r="AG428">
        <v>77</v>
      </c>
      <c r="AH428">
        <v>16</v>
      </c>
      <c r="AI428">
        <v>16</v>
      </c>
      <c r="AJ428">
        <v>0</v>
      </c>
      <c r="AK428">
        <v>3</v>
      </c>
      <c r="AL428" t="s">
        <v>966</v>
      </c>
      <c r="AM428" t="s">
        <v>967</v>
      </c>
      <c r="AN428" t="s">
        <v>968</v>
      </c>
      <c r="AO428" t="s">
        <v>4811</v>
      </c>
      <c r="AP428" t="s">
        <v>4812</v>
      </c>
      <c r="AQ428" t="s">
        <v>74</v>
      </c>
      <c r="AR428" t="s">
        <v>4813</v>
      </c>
      <c r="AS428" t="s">
        <v>4814</v>
      </c>
      <c r="AT428" t="s">
        <v>5987</v>
      </c>
      <c r="AU428">
        <v>1998</v>
      </c>
      <c r="AV428">
        <v>103</v>
      </c>
      <c r="AW428" t="s">
        <v>5988</v>
      </c>
      <c r="AX428" t="s">
        <v>74</v>
      </c>
      <c r="AY428" t="s">
        <v>74</v>
      </c>
      <c r="AZ428" t="s">
        <v>74</v>
      </c>
      <c r="BA428" t="s">
        <v>74</v>
      </c>
      <c r="BB428">
        <v>25417</v>
      </c>
      <c r="BC428">
        <v>25433</v>
      </c>
      <c r="BD428" t="s">
        <v>74</v>
      </c>
      <c r="BE428" t="s">
        <v>5989</v>
      </c>
      <c r="BF428" t="str">
        <f>HYPERLINK("http://dx.doi.org/10.1029/98JD01830","http://dx.doi.org/10.1029/98JD01830")</f>
        <v>http://dx.doi.org/10.1029/98JD01830</v>
      </c>
      <c r="BG428" t="s">
        <v>74</v>
      </c>
      <c r="BH428" t="s">
        <v>74</v>
      </c>
      <c r="BI428">
        <v>17</v>
      </c>
      <c r="BJ428" t="s">
        <v>1418</v>
      </c>
      <c r="BK428" t="s">
        <v>95</v>
      </c>
      <c r="BL428" t="s">
        <v>1418</v>
      </c>
      <c r="BM428" t="s">
        <v>5990</v>
      </c>
      <c r="BN428" t="s">
        <v>74</v>
      </c>
      <c r="BO428" t="s">
        <v>1089</v>
      </c>
      <c r="BP428" t="s">
        <v>74</v>
      </c>
      <c r="BQ428" t="s">
        <v>74</v>
      </c>
      <c r="BR428" t="s">
        <v>98</v>
      </c>
      <c r="BS428" t="s">
        <v>5991</v>
      </c>
      <c r="BT428" t="str">
        <f>HYPERLINK("https%3A%2F%2Fwww.webofscience.com%2Fwos%2Fwoscc%2Ffull-record%2FWOS:000076490200020","View Full Record in Web of Science")</f>
        <v>View Full Record in Web of Science</v>
      </c>
    </row>
    <row r="429" spans="1:72" x14ac:dyDescent="0.15">
      <c r="A429" t="s">
        <v>72</v>
      </c>
      <c r="B429" t="s">
        <v>5992</v>
      </c>
      <c r="C429" t="s">
        <v>74</v>
      </c>
      <c r="D429" t="s">
        <v>74</v>
      </c>
      <c r="E429" t="s">
        <v>74</v>
      </c>
      <c r="F429" t="s">
        <v>5992</v>
      </c>
      <c r="G429" t="s">
        <v>74</v>
      </c>
      <c r="H429" t="s">
        <v>74</v>
      </c>
      <c r="I429" t="s">
        <v>5993</v>
      </c>
      <c r="J429" t="s">
        <v>3749</v>
      </c>
      <c r="K429" t="s">
        <v>74</v>
      </c>
      <c r="L429" t="s">
        <v>74</v>
      </c>
      <c r="M429" t="s">
        <v>77</v>
      </c>
      <c r="N429" t="s">
        <v>2667</v>
      </c>
      <c r="O429" t="s">
        <v>74</v>
      </c>
      <c r="P429" t="s">
        <v>74</v>
      </c>
      <c r="Q429" t="s">
        <v>74</v>
      </c>
      <c r="R429" t="s">
        <v>74</v>
      </c>
      <c r="S429" t="s">
        <v>74</v>
      </c>
      <c r="T429" t="s">
        <v>74</v>
      </c>
      <c r="U429" t="s">
        <v>5994</v>
      </c>
      <c r="V429" t="s">
        <v>74</v>
      </c>
      <c r="W429" t="s">
        <v>5995</v>
      </c>
      <c r="X429" t="s">
        <v>2741</v>
      </c>
      <c r="Y429" t="s">
        <v>5996</v>
      </c>
      <c r="Z429" t="s">
        <v>74</v>
      </c>
      <c r="AA429" t="s">
        <v>74</v>
      </c>
      <c r="AB429" t="s">
        <v>74</v>
      </c>
      <c r="AC429" t="s">
        <v>74</v>
      </c>
      <c r="AD429" t="s">
        <v>74</v>
      </c>
      <c r="AE429" t="s">
        <v>74</v>
      </c>
      <c r="AF429" t="s">
        <v>74</v>
      </c>
      <c r="AG429">
        <v>19</v>
      </c>
      <c r="AH429">
        <v>64</v>
      </c>
      <c r="AI429">
        <v>75</v>
      </c>
      <c r="AJ429">
        <v>0</v>
      </c>
      <c r="AK429">
        <v>7</v>
      </c>
      <c r="AL429" t="s">
        <v>3756</v>
      </c>
      <c r="AM429" t="s">
        <v>967</v>
      </c>
      <c r="AN429" t="s">
        <v>3757</v>
      </c>
      <c r="AO429" t="s">
        <v>3758</v>
      </c>
      <c r="AP429" t="s">
        <v>74</v>
      </c>
      <c r="AQ429" t="s">
        <v>74</v>
      </c>
      <c r="AR429" t="s">
        <v>3749</v>
      </c>
      <c r="AS429" t="s">
        <v>3759</v>
      </c>
      <c r="AT429" t="s">
        <v>5997</v>
      </c>
      <c r="AU429">
        <v>1998</v>
      </c>
      <c r="AV429">
        <v>282</v>
      </c>
      <c r="AW429">
        <v>5388</v>
      </c>
      <c r="AX429" t="s">
        <v>74</v>
      </c>
      <c r="AY429" t="s">
        <v>74</v>
      </c>
      <c r="AZ429" t="s">
        <v>74</v>
      </c>
      <c r="BA429" t="s">
        <v>74</v>
      </c>
      <c r="BB429">
        <v>428</v>
      </c>
      <c r="BC429">
        <v>429</v>
      </c>
      <c r="BD429" t="s">
        <v>74</v>
      </c>
      <c r="BE429" t="s">
        <v>5998</v>
      </c>
      <c r="BF429" t="str">
        <f>HYPERLINK("http://dx.doi.org/10.1126/science.282.5388.428","http://dx.doi.org/10.1126/science.282.5388.428")</f>
        <v>http://dx.doi.org/10.1126/science.282.5388.428</v>
      </c>
      <c r="BG429" t="s">
        <v>74</v>
      </c>
      <c r="BH429" t="s">
        <v>74</v>
      </c>
      <c r="BI429">
        <v>2</v>
      </c>
      <c r="BJ429" t="s">
        <v>3377</v>
      </c>
      <c r="BK429" t="s">
        <v>95</v>
      </c>
      <c r="BL429" t="s">
        <v>3378</v>
      </c>
      <c r="BM429" t="s">
        <v>5999</v>
      </c>
      <c r="BN429" t="s">
        <v>74</v>
      </c>
      <c r="BO429" t="s">
        <v>74</v>
      </c>
      <c r="BP429" t="s">
        <v>74</v>
      </c>
      <c r="BQ429" t="s">
        <v>74</v>
      </c>
      <c r="BR429" t="s">
        <v>98</v>
      </c>
      <c r="BS429" t="s">
        <v>6000</v>
      </c>
      <c r="BT429" t="str">
        <f>HYPERLINK("https%3A%2F%2Fwww.webofscience.com%2Fwos%2Fwoscc%2Ffull-record%2FWOS:000076479600039","View Full Record in Web of Science")</f>
        <v>View Full Record in Web of Science</v>
      </c>
    </row>
    <row r="430" spans="1:72" x14ac:dyDescent="0.15">
      <c r="A430" t="s">
        <v>72</v>
      </c>
      <c r="B430" t="s">
        <v>6001</v>
      </c>
      <c r="C430" t="s">
        <v>74</v>
      </c>
      <c r="D430" t="s">
        <v>74</v>
      </c>
      <c r="E430" t="s">
        <v>74</v>
      </c>
      <c r="F430" t="s">
        <v>6001</v>
      </c>
      <c r="G430" t="s">
        <v>74</v>
      </c>
      <c r="H430" t="s">
        <v>74</v>
      </c>
      <c r="I430" t="s">
        <v>6002</v>
      </c>
      <c r="J430" t="s">
        <v>3749</v>
      </c>
      <c r="K430" t="s">
        <v>74</v>
      </c>
      <c r="L430" t="s">
        <v>74</v>
      </c>
      <c r="M430" t="s">
        <v>77</v>
      </c>
      <c r="N430" t="s">
        <v>103</v>
      </c>
      <c r="O430" t="s">
        <v>74</v>
      </c>
      <c r="P430" t="s">
        <v>74</v>
      </c>
      <c r="Q430" t="s">
        <v>74</v>
      </c>
      <c r="R430" t="s">
        <v>74</v>
      </c>
      <c r="S430" t="s">
        <v>74</v>
      </c>
      <c r="T430" t="s">
        <v>74</v>
      </c>
      <c r="U430" t="s">
        <v>6003</v>
      </c>
      <c r="V430" t="s">
        <v>6004</v>
      </c>
      <c r="W430" t="s">
        <v>6005</v>
      </c>
      <c r="X430" t="s">
        <v>6006</v>
      </c>
      <c r="Y430" t="s">
        <v>6007</v>
      </c>
      <c r="Z430" t="s">
        <v>74</v>
      </c>
      <c r="AA430" t="s">
        <v>6008</v>
      </c>
      <c r="AB430" t="s">
        <v>6009</v>
      </c>
      <c r="AC430" t="s">
        <v>74</v>
      </c>
      <c r="AD430" t="s">
        <v>74</v>
      </c>
      <c r="AE430" t="s">
        <v>74</v>
      </c>
      <c r="AF430" t="s">
        <v>74</v>
      </c>
      <c r="AG430">
        <v>30</v>
      </c>
      <c r="AH430">
        <v>267</v>
      </c>
      <c r="AI430">
        <v>293</v>
      </c>
      <c r="AJ430">
        <v>2</v>
      </c>
      <c r="AK430">
        <v>45</v>
      </c>
      <c r="AL430" t="s">
        <v>3756</v>
      </c>
      <c r="AM430" t="s">
        <v>967</v>
      </c>
      <c r="AN430" t="s">
        <v>3757</v>
      </c>
      <c r="AO430" t="s">
        <v>3758</v>
      </c>
      <c r="AP430" t="s">
        <v>74</v>
      </c>
      <c r="AQ430" t="s">
        <v>74</v>
      </c>
      <c r="AR430" t="s">
        <v>3749</v>
      </c>
      <c r="AS430" t="s">
        <v>3759</v>
      </c>
      <c r="AT430" t="s">
        <v>5997</v>
      </c>
      <c r="AU430">
        <v>1998</v>
      </c>
      <c r="AV430">
        <v>282</v>
      </c>
      <c r="AW430">
        <v>5388</v>
      </c>
      <c r="AX430" t="s">
        <v>74</v>
      </c>
      <c r="AY430" t="s">
        <v>74</v>
      </c>
      <c r="AZ430" t="s">
        <v>74</v>
      </c>
      <c r="BA430" t="s">
        <v>74</v>
      </c>
      <c r="BB430">
        <v>456</v>
      </c>
      <c r="BC430">
        <v>458</v>
      </c>
      <c r="BD430" t="s">
        <v>74</v>
      </c>
      <c r="BE430" t="s">
        <v>6010</v>
      </c>
      <c r="BF430" t="str">
        <f>HYPERLINK("http://dx.doi.org/10.1126/science.282.5388.456","http://dx.doi.org/10.1126/science.282.5388.456")</f>
        <v>http://dx.doi.org/10.1126/science.282.5388.456</v>
      </c>
      <c r="BG430" t="s">
        <v>74</v>
      </c>
      <c r="BH430" t="s">
        <v>74</v>
      </c>
      <c r="BI430">
        <v>3</v>
      </c>
      <c r="BJ430" t="s">
        <v>3377</v>
      </c>
      <c r="BK430" t="s">
        <v>95</v>
      </c>
      <c r="BL430" t="s">
        <v>3378</v>
      </c>
      <c r="BM430" t="s">
        <v>5999</v>
      </c>
      <c r="BN430">
        <v>9774268</v>
      </c>
      <c r="BO430" t="s">
        <v>74</v>
      </c>
      <c r="BP430" t="s">
        <v>74</v>
      </c>
      <c r="BQ430" t="s">
        <v>74</v>
      </c>
      <c r="BR430" t="s">
        <v>98</v>
      </c>
      <c r="BS430" t="s">
        <v>6011</v>
      </c>
      <c r="BT430" t="str">
        <f>HYPERLINK("https%3A%2F%2Fwww.webofscience.com%2Fwos%2Fwoscc%2Ffull-record%2FWOS:000076479600048","View Full Record in Web of Science")</f>
        <v>View Full Record in Web of Science</v>
      </c>
    </row>
    <row r="431" spans="1:72" x14ac:dyDescent="0.15">
      <c r="A431" t="s">
        <v>72</v>
      </c>
      <c r="B431" t="s">
        <v>6012</v>
      </c>
      <c r="C431" t="s">
        <v>74</v>
      </c>
      <c r="D431" t="s">
        <v>74</v>
      </c>
      <c r="E431" t="s">
        <v>74</v>
      </c>
      <c r="F431" t="s">
        <v>6012</v>
      </c>
      <c r="G431" t="s">
        <v>74</v>
      </c>
      <c r="H431" t="s">
        <v>74</v>
      </c>
      <c r="I431" t="s">
        <v>6013</v>
      </c>
      <c r="J431" t="s">
        <v>3825</v>
      </c>
      <c r="K431" t="s">
        <v>74</v>
      </c>
      <c r="L431" t="s">
        <v>74</v>
      </c>
      <c r="M431" t="s">
        <v>77</v>
      </c>
      <c r="N431" t="s">
        <v>103</v>
      </c>
      <c r="O431" t="s">
        <v>74</v>
      </c>
      <c r="P431" t="s">
        <v>74</v>
      </c>
      <c r="Q431" t="s">
        <v>74</v>
      </c>
      <c r="R431" t="s">
        <v>74</v>
      </c>
      <c r="S431" t="s">
        <v>74</v>
      </c>
      <c r="T431" t="s">
        <v>74</v>
      </c>
      <c r="U431" t="s">
        <v>6014</v>
      </c>
      <c r="V431" t="s">
        <v>6015</v>
      </c>
      <c r="W431" t="s">
        <v>3313</v>
      </c>
      <c r="X431" t="s">
        <v>1500</v>
      </c>
      <c r="Y431" t="s">
        <v>6016</v>
      </c>
      <c r="Z431" t="s">
        <v>74</v>
      </c>
      <c r="AA431" t="s">
        <v>74</v>
      </c>
      <c r="AB431" t="s">
        <v>74</v>
      </c>
      <c r="AC431" t="s">
        <v>74</v>
      </c>
      <c r="AD431" t="s">
        <v>74</v>
      </c>
      <c r="AE431" t="s">
        <v>74</v>
      </c>
      <c r="AF431" t="s">
        <v>74</v>
      </c>
      <c r="AG431">
        <v>51</v>
      </c>
      <c r="AH431">
        <v>123</v>
      </c>
      <c r="AI431">
        <v>138</v>
      </c>
      <c r="AJ431">
        <v>1</v>
      </c>
      <c r="AK431">
        <v>15</v>
      </c>
      <c r="AL431" t="s">
        <v>966</v>
      </c>
      <c r="AM431" t="s">
        <v>967</v>
      </c>
      <c r="AN431" t="s">
        <v>968</v>
      </c>
      <c r="AO431" t="s">
        <v>74</v>
      </c>
      <c r="AP431" t="s">
        <v>74</v>
      </c>
      <c r="AQ431" t="s">
        <v>74</v>
      </c>
      <c r="AR431" t="s">
        <v>3835</v>
      </c>
      <c r="AS431" t="s">
        <v>3836</v>
      </c>
      <c r="AT431" t="s">
        <v>6017</v>
      </c>
      <c r="AU431">
        <v>1998</v>
      </c>
      <c r="AV431">
        <v>103</v>
      </c>
      <c r="AW431" t="s">
        <v>6018</v>
      </c>
      <c r="AX431" t="s">
        <v>74</v>
      </c>
      <c r="AY431" t="s">
        <v>74</v>
      </c>
      <c r="AZ431" t="s">
        <v>74</v>
      </c>
      <c r="BA431" t="s">
        <v>74</v>
      </c>
      <c r="BB431">
        <v>24573</v>
      </c>
      <c r="BC431">
        <v>24583</v>
      </c>
      <c r="BD431" t="s">
        <v>74</v>
      </c>
      <c r="BE431" t="s">
        <v>6019</v>
      </c>
      <c r="BF431" t="str">
        <f>HYPERLINK("http://dx.doi.org/10.1029/98JC01947","http://dx.doi.org/10.1029/98JC01947")</f>
        <v>http://dx.doi.org/10.1029/98JC01947</v>
      </c>
      <c r="BG431" t="s">
        <v>74</v>
      </c>
      <c r="BH431" t="s">
        <v>74</v>
      </c>
      <c r="BI431">
        <v>11</v>
      </c>
      <c r="BJ431" t="s">
        <v>451</v>
      </c>
      <c r="BK431" t="s">
        <v>95</v>
      </c>
      <c r="BL431" t="s">
        <v>451</v>
      </c>
      <c r="BM431" t="s">
        <v>6020</v>
      </c>
      <c r="BN431" t="s">
        <v>74</v>
      </c>
      <c r="BO431" t="s">
        <v>1089</v>
      </c>
      <c r="BP431" t="s">
        <v>74</v>
      </c>
      <c r="BQ431" t="s">
        <v>74</v>
      </c>
      <c r="BR431" t="s">
        <v>98</v>
      </c>
      <c r="BS431" t="s">
        <v>6021</v>
      </c>
      <c r="BT431" t="str">
        <f>HYPERLINK("https%3A%2F%2Fwww.webofscience.com%2Fwos%2Fwoscc%2Ffull-record%2FWOS:000076374900001","View Full Record in Web of Science")</f>
        <v>View Full Record in Web of Science</v>
      </c>
    </row>
    <row r="432" spans="1:72" x14ac:dyDescent="0.15">
      <c r="A432" t="s">
        <v>72</v>
      </c>
      <c r="B432" t="s">
        <v>6022</v>
      </c>
      <c r="C432" t="s">
        <v>74</v>
      </c>
      <c r="D432" t="s">
        <v>74</v>
      </c>
      <c r="E432" t="s">
        <v>74</v>
      </c>
      <c r="F432" t="s">
        <v>6022</v>
      </c>
      <c r="G432" t="s">
        <v>74</v>
      </c>
      <c r="H432" t="s">
        <v>74</v>
      </c>
      <c r="I432" t="s">
        <v>6023</v>
      </c>
      <c r="J432" t="s">
        <v>3825</v>
      </c>
      <c r="K432" t="s">
        <v>74</v>
      </c>
      <c r="L432" t="s">
        <v>74</v>
      </c>
      <c r="M432" t="s">
        <v>77</v>
      </c>
      <c r="N432" t="s">
        <v>103</v>
      </c>
      <c r="O432" t="s">
        <v>74</v>
      </c>
      <c r="P432" t="s">
        <v>74</v>
      </c>
      <c r="Q432" t="s">
        <v>74</v>
      </c>
      <c r="R432" t="s">
        <v>74</v>
      </c>
      <c r="S432" t="s">
        <v>74</v>
      </c>
      <c r="T432" t="s">
        <v>74</v>
      </c>
      <c r="U432" t="s">
        <v>6024</v>
      </c>
      <c r="V432" t="s">
        <v>6025</v>
      </c>
      <c r="W432" t="s">
        <v>6026</v>
      </c>
      <c r="X432" t="s">
        <v>1500</v>
      </c>
      <c r="Y432" t="s">
        <v>6027</v>
      </c>
      <c r="Z432" t="s">
        <v>6028</v>
      </c>
      <c r="AA432" t="s">
        <v>74</v>
      </c>
      <c r="AB432" t="s">
        <v>6029</v>
      </c>
      <c r="AC432" t="s">
        <v>74</v>
      </c>
      <c r="AD432" t="s">
        <v>74</v>
      </c>
      <c r="AE432" t="s">
        <v>74</v>
      </c>
      <c r="AF432" t="s">
        <v>74</v>
      </c>
      <c r="AG432">
        <v>26</v>
      </c>
      <c r="AH432">
        <v>143</v>
      </c>
      <c r="AI432">
        <v>151</v>
      </c>
      <c r="AJ432">
        <v>1</v>
      </c>
      <c r="AK432">
        <v>14</v>
      </c>
      <c r="AL432" t="s">
        <v>966</v>
      </c>
      <c r="AM432" t="s">
        <v>967</v>
      </c>
      <c r="AN432" t="s">
        <v>968</v>
      </c>
      <c r="AO432" t="s">
        <v>3833</v>
      </c>
      <c r="AP432" t="s">
        <v>3834</v>
      </c>
      <c r="AQ432" t="s">
        <v>74</v>
      </c>
      <c r="AR432" t="s">
        <v>3835</v>
      </c>
      <c r="AS432" t="s">
        <v>3836</v>
      </c>
      <c r="AT432" t="s">
        <v>6017</v>
      </c>
      <c r="AU432">
        <v>1998</v>
      </c>
      <c r="AV432">
        <v>103</v>
      </c>
      <c r="AW432" t="s">
        <v>6018</v>
      </c>
      <c r="AX432" t="s">
        <v>74</v>
      </c>
      <c r="AY432" t="s">
        <v>74</v>
      </c>
      <c r="AZ432" t="s">
        <v>74</v>
      </c>
      <c r="BA432" t="s">
        <v>74</v>
      </c>
      <c r="BB432">
        <v>24619</v>
      </c>
      <c r="BC432">
        <v>24639</v>
      </c>
      <c r="BD432" t="s">
        <v>74</v>
      </c>
      <c r="BE432" t="s">
        <v>6030</v>
      </c>
      <c r="BF432" t="str">
        <f>HYPERLINK("http://dx.doi.org/10.1029/98JC01913","http://dx.doi.org/10.1029/98JC01913")</f>
        <v>http://dx.doi.org/10.1029/98JC01913</v>
      </c>
      <c r="BG432" t="s">
        <v>74</v>
      </c>
      <c r="BH432" t="s">
        <v>74</v>
      </c>
      <c r="BI432">
        <v>21</v>
      </c>
      <c r="BJ432" t="s">
        <v>451</v>
      </c>
      <c r="BK432" t="s">
        <v>95</v>
      </c>
      <c r="BL432" t="s">
        <v>451</v>
      </c>
      <c r="BM432" t="s">
        <v>6020</v>
      </c>
      <c r="BN432" t="s">
        <v>74</v>
      </c>
      <c r="BO432" t="s">
        <v>1089</v>
      </c>
      <c r="BP432" t="s">
        <v>74</v>
      </c>
      <c r="BQ432" t="s">
        <v>74</v>
      </c>
      <c r="BR432" t="s">
        <v>98</v>
      </c>
      <c r="BS432" t="s">
        <v>6031</v>
      </c>
      <c r="BT432" t="str">
        <f>HYPERLINK("https%3A%2F%2Fwww.webofscience.com%2Fwos%2Fwoscc%2Ffull-record%2FWOS:000076374900004","View Full Record in Web of Science")</f>
        <v>View Full Record in Web of Science</v>
      </c>
    </row>
    <row r="433" spans="1:72" x14ac:dyDescent="0.15">
      <c r="A433" t="s">
        <v>72</v>
      </c>
      <c r="B433" t="s">
        <v>6032</v>
      </c>
      <c r="C433" t="s">
        <v>74</v>
      </c>
      <c r="D433" t="s">
        <v>74</v>
      </c>
      <c r="E433" t="s">
        <v>74</v>
      </c>
      <c r="F433" t="s">
        <v>6032</v>
      </c>
      <c r="G433" t="s">
        <v>74</v>
      </c>
      <c r="H433" t="s">
        <v>74</v>
      </c>
      <c r="I433" t="s">
        <v>6033</v>
      </c>
      <c r="J433" t="s">
        <v>3825</v>
      </c>
      <c r="K433" t="s">
        <v>74</v>
      </c>
      <c r="L433" t="s">
        <v>74</v>
      </c>
      <c r="M433" t="s">
        <v>77</v>
      </c>
      <c r="N433" t="s">
        <v>103</v>
      </c>
      <c r="O433" t="s">
        <v>74</v>
      </c>
      <c r="P433" t="s">
        <v>74</v>
      </c>
      <c r="Q433" t="s">
        <v>74</v>
      </c>
      <c r="R433" t="s">
        <v>74</v>
      </c>
      <c r="S433" t="s">
        <v>74</v>
      </c>
      <c r="T433" t="s">
        <v>74</v>
      </c>
      <c r="U433" t="s">
        <v>6034</v>
      </c>
      <c r="V433" t="s">
        <v>6035</v>
      </c>
      <c r="W433" t="s">
        <v>6036</v>
      </c>
      <c r="X433" t="s">
        <v>243</v>
      </c>
      <c r="Y433" t="s">
        <v>6037</v>
      </c>
      <c r="Z433" t="s">
        <v>6038</v>
      </c>
      <c r="AA433" t="s">
        <v>74</v>
      </c>
      <c r="AB433" t="s">
        <v>74</v>
      </c>
      <c r="AC433" t="s">
        <v>74</v>
      </c>
      <c r="AD433" t="s">
        <v>74</v>
      </c>
      <c r="AE433" t="s">
        <v>74</v>
      </c>
      <c r="AF433" t="s">
        <v>74</v>
      </c>
      <c r="AG433">
        <v>47</v>
      </c>
      <c r="AH433">
        <v>24</v>
      </c>
      <c r="AI433">
        <v>27</v>
      </c>
      <c r="AJ433">
        <v>0</v>
      </c>
      <c r="AK433">
        <v>6</v>
      </c>
      <c r="AL433" t="s">
        <v>966</v>
      </c>
      <c r="AM433" t="s">
        <v>967</v>
      </c>
      <c r="AN433" t="s">
        <v>968</v>
      </c>
      <c r="AO433" t="s">
        <v>3833</v>
      </c>
      <c r="AP433" t="s">
        <v>3834</v>
      </c>
      <c r="AQ433" t="s">
        <v>74</v>
      </c>
      <c r="AR433" t="s">
        <v>3835</v>
      </c>
      <c r="AS433" t="s">
        <v>3836</v>
      </c>
      <c r="AT433" t="s">
        <v>6017</v>
      </c>
      <c r="AU433">
        <v>1998</v>
      </c>
      <c r="AV433">
        <v>103</v>
      </c>
      <c r="AW433" t="s">
        <v>6018</v>
      </c>
      <c r="AX433" t="s">
        <v>74</v>
      </c>
      <c r="AY433" t="s">
        <v>74</v>
      </c>
      <c r="AZ433" t="s">
        <v>74</v>
      </c>
      <c r="BA433" t="s">
        <v>74</v>
      </c>
      <c r="BB433">
        <v>24675</v>
      </c>
      <c r="BC433">
        <v>24691</v>
      </c>
      <c r="BD433" t="s">
        <v>74</v>
      </c>
      <c r="BE433" t="s">
        <v>6039</v>
      </c>
      <c r="BF433" t="str">
        <f>HYPERLINK("http://dx.doi.org/10.1029/98JC02414","http://dx.doi.org/10.1029/98JC02414")</f>
        <v>http://dx.doi.org/10.1029/98JC02414</v>
      </c>
      <c r="BG433" t="s">
        <v>74</v>
      </c>
      <c r="BH433" t="s">
        <v>74</v>
      </c>
      <c r="BI433">
        <v>17</v>
      </c>
      <c r="BJ433" t="s">
        <v>451</v>
      </c>
      <c r="BK433" t="s">
        <v>95</v>
      </c>
      <c r="BL433" t="s">
        <v>451</v>
      </c>
      <c r="BM433" t="s">
        <v>6020</v>
      </c>
      <c r="BN433" t="s">
        <v>74</v>
      </c>
      <c r="BO433" t="s">
        <v>1089</v>
      </c>
      <c r="BP433" t="s">
        <v>74</v>
      </c>
      <c r="BQ433" t="s">
        <v>74</v>
      </c>
      <c r="BR433" t="s">
        <v>98</v>
      </c>
      <c r="BS433" t="s">
        <v>6040</v>
      </c>
      <c r="BT433" t="str">
        <f>HYPERLINK("https%3A%2F%2Fwww.webofscience.com%2Fwos%2Fwoscc%2Ffull-record%2FWOS:000076374900008","View Full Record in Web of Science")</f>
        <v>View Full Record in Web of Science</v>
      </c>
    </row>
    <row r="434" spans="1:72" x14ac:dyDescent="0.15">
      <c r="A434" t="s">
        <v>72</v>
      </c>
      <c r="B434" t="s">
        <v>6041</v>
      </c>
      <c r="C434" t="s">
        <v>74</v>
      </c>
      <c r="D434" t="s">
        <v>74</v>
      </c>
      <c r="E434" t="s">
        <v>74</v>
      </c>
      <c r="F434" t="s">
        <v>6041</v>
      </c>
      <c r="G434" t="s">
        <v>74</v>
      </c>
      <c r="H434" t="s">
        <v>74</v>
      </c>
      <c r="I434" t="s">
        <v>6042</v>
      </c>
      <c r="J434" t="s">
        <v>3825</v>
      </c>
      <c r="K434" t="s">
        <v>74</v>
      </c>
      <c r="L434" t="s">
        <v>74</v>
      </c>
      <c r="M434" t="s">
        <v>77</v>
      </c>
      <c r="N434" t="s">
        <v>103</v>
      </c>
      <c r="O434" t="s">
        <v>74</v>
      </c>
      <c r="P434" t="s">
        <v>74</v>
      </c>
      <c r="Q434" t="s">
        <v>74</v>
      </c>
      <c r="R434" t="s">
        <v>74</v>
      </c>
      <c r="S434" t="s">
        <v>74</v>
      </c>
      <c r="T434" t="s">
        <v>74</v>
      </c>
      <c r="U434" t="s">
        <v>6043</v>
      </c>
      <c r="V434" t="s">
        <v>6044</v>
      </c>
      <c r="W434" t="s">
        <v>6045</v>
      </c>
      <c r="X434" t="s">
        <v>3846</v>
      </c>
      <c r="Y434" t="s">
        <v>6046</v>
      </c>
      <c r="Z434" t="s">
        <v>6047</v>
      </c>
      <c r="AA434" t="s">
        <v>74</v>
      </c>
      <c r="AB434" t="s">
        <v>74</v>
      </c>
      <c r="AC434" t="s">
        <v>74</v>
      </c>
      <c r="AD434" t="s">
        <v>74</v>
      </c>
      <c r="AE434" t="s">
        <v>74</v>
      </c>
      <c r="AF434" t="s">
        <v>74</v>
      </c>
      <c r="AG434">
        <v>31</v>
      </c>
      <c r="AH434">
        <v>7</v>
      </c>
      <c r="AI434">
        <v>7</v>
      </c>
      <c r="AJ434">
        <v>1</v>
      </c>
      <c r="AK434">
        <v>6</v>
      </c>
      <c r="AL434" t="s">
        <v>966</v>
      </c>
      <c r="AM434" t="s">
        <v>967</v>
      </c>
      <c r="AN434" t="s">
        <v>968</v>
      </c>
      <c r="AO434" t="s">
        <v>3833</v>
      </c>
      <c r="AP434" t="s">
        <v>3834</v>
      </c>
      <c r="AQ434" t="s">
        <v>74</v>
      </c>
      <c r="AR434" t="s">
        <v>3835</v>
      </c>
      <c r="AS434" t="s">
        <v>3836</v>
      </c>
      <c r="AT434" t="s">
        <v>6017</v>
      </c>
      <c r="AU434">
        <v>1998</v>
      </c>
      <c r="AV434">
        <v>103</v>
      </c>
      <c r="AW434" t="s">
        <v>6018</v>
      </c>
      <c r="AX434" t="s">
        <v>74</v>
      </c>
      <c r="AY434" t="s">
        <v>74</v>
      </c>
      <c r="AZ434" t="s">
        <v>74</v>
      </c>
      <c r="BA434" t="s">
        <v>74</v>
      </c>
      <c r="BB434">
        <v>24693</v>
      </c>
      <c r="BC434">
        <v>24721</v>
      </c>
      <c r="BD434" t="s">
        <v>74</v>
      </c>
      <c r="BE434" t="s">
        <v>6048</v>
      </c>
      <c r="BF434" t="str">
        <f>HYPERLINK("http://dx.doi.org/10.1029/98JC01373","http://dx.doi.org/10.1029/98JC01373")</f>
        <v>http://dx.doi.org/10.1029/98JC01373</v>
      </c>
      <c r="BG434" t="s">
        <v>74</v>
      </c>
      <c r="BH434" t="s">
        <v>74</v>
      </c>
      <c r="BI434">
        <v>29</v>
      </c>
      <c r="BJ434" t="s">
        <v>451</v>
      </c>
      <c r="BK434" t="s">
        <v>95</v>
      </c>
      <c r="BL434" t="s">
        <v>451</v>
      </c>
      <c r="BM434" t="s">
        <v>6020</v>
      </c>
      <c r="BN434" t="s">
        <v>74</v>
      </c>
      <c r="BO434" t="s">
        <v>74</v>
      </c>
      <c r="BP434" t="s">
        <v>74</v>
      </c>
      <c r="BQ434" t="s">
        <v>74</v>
      </c>
      <c r="BR434" t="s">
        <v>98</v>
      </c>
      <c r="BS434" t="s">
        <v>6049</v>
      </c>
      <c r="BT434" t="str">
        <f>HYPERLINK("https%3A%2F%2Fwww.webofscience.com%2Fwos%2Fwoscc%2Ffull-record%2FWOS:000076374900009","View Full Record in Web of Science")</f>
        <v>View Full Record in Web of Science</v>
      </c>
    </row>
    <row r="435" spans="1:72" x14ac:dyDescent="0.15">
      <c r="A435" t="s">
        <v>72</v>
      </c>
      <c r="B435" t="s">
        <v>6050</v>
      </c>
      <c r="C435" t="s">
        <v>74</v>
      </c>
      <c r="D435" t="s">
        <v>74</v>
      </c>
      <c r="E435" t="s">
        <v>74</v>
      </c>
      <c r="F435" t="s">
        <v>6050</v>
      </c>
      <c r="G435" t="s">
        <v>74</v>
      </c>
      <c r="H435" t="s">
        <v>74</v>
      </c>
      <c r="I435" t="s">
        <v>6051</v>
      </c>
      <c r="J435" t="s">
        <v>3825</v>
      </c>
      <c r="K435" t="s">
        <v>74</v>
      </c>
      <c r="L435" t="s">
        <v>74</v>
      </c>
      <c r="M435" t="s">
        <v>77</v>
      </c>
      <c r="N435" t="s">
        <v>103</v>
      </c>
      <c r="O435" t="s">
        <v>74</v>
      </c>
      <c r="P435" t="s">
        <v>74</v>
      </c>
      <c r="Q435" t="s">
        <v>74</v>
      </c>
      <c r="R435" t="s">
        <v>74</v>
      </c>
      <c r="S435" t="s">
        <v>74</v>
      </c>
      <c r="T435" t="s">
        <v>74</v>
      </c>
      <c r="U435" t="s">
        <v>6052</v>
      </c>
      <c r="V435" t="s">
        <v>6053</v>
      </c>
      <c r="W435" t="s">
        <v>6054</v>
      </c>
      <c r="X435" t="s">
        <v>6055</v>
      </c>
      <c r="Y435" t="s">
        <v>6056</v>
      </c>
      <c r="Z435" t="s">
        <v>6057</v>
      </c>
      <c r="AA435" t="s">
        <v>74</v>
      </c>
      <c r="AB435" t="s">
        <v>74</v>
      </c>
      <c r="AC435" t="s">
        <v>74</v>
      </c>
      <c r="AD435" t="s">
        <v>74</v>
      </c>
      <c r="AE435" t="s">
        <v>74</v>
      </c>
      <c r="AF435" t="s">
        <v>74</v>
      </c>
      <c r="AG435">
        <v>64</v>
      </c>
      <c r="AH435">
        <v>6</v>
      </c>
      <c r="AI435">
        <v>6</v>
      </c>
      <c r="AJ435">
        <v>1</v>
      </c>
      <c r="AK435">
        <v>2</v>
      </c>
      <c r="AL435" t="s">
        <v>966</v>
      </c>
      <c r="AM435" t="s">
        <v>967</v>
      </c>
      <c r="AN435" t="s">
        <v>968</v>
      </c>
      <c r="AO435" t="s">
        <v>3833</v>
      </c>
      <c r="AP435" t="s">
        <v>3834</v>
      </c>
      <c r="AQ435" t="s">
        <v>74</v>
      </c>
      <c r="AR435" t="s">
        <v>3835</v>
      </c>
      <c r="AS435" t="s">
        <v>3836</v>
      </c>
      <c r="AT435" t="s">
        <v>6017</v>
      </c>
      <c r="AU435">
        <v>1998</v>
      </c>
      <c r="AV435">
        <v>103</v>
      </c>
      <c r="AW435" t="s">
        <v>6018</v>
      </c>
      <c r="AX435" t="s">
        <v>74</v>
      </c>
      <c r="AY435" t="s">
        <v>74</v>
      </c>
      <c r="AZ435" t="s">
        <v>74</v>
      </c>
      <c r="BA435" t="s">
        <v>74</v>
      </c>
      <c r="BB435">
        <v>24737</v>
      </c>
      <c r="BC435">
        <v>24758</v>
      </c>
      <c r="BD435" t="s">
        <v>74</v>
      </c>
      <c r="BE435" t="s">
        <v>6058</v>
      </c>
      <c r="BF435" t="str">
        <f>HYPERLINK("http://dx.doi.org/10.1029/98JC01661","http://dx.doi.org/10.1029/98JC01661")</f>
        <v>http://dx.doi.org/10.1029/98JC01661</v>
      </c>
      <c r="BG435" t="s">
        <v>74</v>
      </c>
      <c r="BH435" t="s">
        <v>74</v>
      </c>
      <c r="BI435">
        <v>22</v>
      </c>
      <c r="BJ435" t="s">
        <v>451</v>
      </c>
      <c r="BK435" t="s">
        <v>95</v>
      </c>
      <c r="BL435" t="s">
        <v>451</v>
      </c>
      <c r="BM435" t="s">
        <v>6020</v>
      </c>
      <c r="BN435" t="s">
        <v>74</v>
      </c>
      <c r="BO435" t="s">
        <v>1089</v>
      </c>
      <c r="BP435" t="s">
        <v>74</v>
      </c>
      <c r="BQ435" t="s">
        <v>74</v>
      </c>
      <c r="BR435" t="s">
        <v>98</v>
      </c>
      <c r="BS435" t="s">
        <v>6059</v>
      </c>
      <c r="BT435" t="str">
        <f>HYPERLINK("https%3A%2F%2Fwww.webofscience.com%2Fwos%2Fwoscc%2Ffull-record%2FWOS:000076374900011","View Full Record in Web of Science")</f>
        <v>View Full Record in Web of Science</v>
      </c>
    </row>
    <row r="436" spans="1:72" x14ac:dyDescent="0.15">
      <c r="A436" t="s">
        <v>72</v>
      </c>
      <c r="B436" t="s">
        <v>6060</v>
      </c>
      <c r="C436" t="s">
        <v>74</v>
      </c>
      <c r="D436" t="s">
        <v>74</v>
      </c>
      <c r="E436" t="s">
        <v>74</v>
      </c>
      <c r="F436" t="s">
        <v>6060</v>
      </c>
      <c r="G436" t="s">
        <v>74</v>
      </c>
      <c r="H436" t="s">
        <v>74</v>
      </c>
      <c r="I436" t="s">
        <v>6061</v>
      </c>
      <c r="J436" t="s">
        <v>3825</v>
      </c>
      <c r="K436" t="s">
        <v>74</v>
      </c>
      <c r="L436" t="s">
        <v>74</v>
      </c>
      <c r="M436" t="s">
        <v>77</v>
      </c>
      <c r="N436" t="s">
        <v>103</v>
      </c>
      <c r="O436" t="s">
        <v>74</v>
      </c>
      <c r="P436" t="s">
        <v>74</v>
      </c>
      <c r="Q436" t="s">
        <v>74</v>
      </c>
      <c r="R436" t="s">
        <v>74</v>
      </c>
      <c r="S436" t="s">
        <v>74</v>
      </c>
      <c r="T436" t="s">
        <v>74</v>
      </c>
      <c r="U436" t="s">
        <v>6062</v>
      </c>
      <c r="V436" t="s">
        <v>6063</v>
      </c>
      <c r="W436" t="s">
        <v>6064</v>
      </c>
      <c r="X436" t="s">
        <v>6065</v>
      </c>
      <c r="Y436" t="s">
        <v>6066</v>
      </c>
      <c r="Z436" t="s">
        <v>6067</v>
      </c>
      <c r="AA436" t="s">
        <v>6068</v>
      </c>
      <c r="AB436" t="s">
        <v>6069</v>
      </c>
      <c r="AC436" t="s">
        <v>74</v>
      </c>
      <c r="AD436" t="s">
        <v>74</v>
      </c>
      <c r="AE436" t="s">
        <v>74</v>
      </c>
      <c r="AF436" t="s">
        <v>74</v>
      </c>
      <c r="AG436">
        <v>67</v>
      </c>
      <c r="AH436">
        <v>52</v>
      </c>
      <c r="AI436">
        <v>57</v>
      </c>
      <c r="AJ436">
        <v>0</v>
      </c>
      <c r="AK436">
        <v>9</v>
      </c>
      <c r="AL436" t="s">
        <v>966</v>
      </c>
      <c r="AM436" t="s">
        <v>967</v>
      </c>
      <c r="AN436" t="s">
        <v>968</v>
      </c>
      <c r="AO436" t="s">
        <v>3833</v>
      </c>
      <c r="AP436" t="s">
        <v>3834</v>
      </c>
      <c r="AQ436" t="s">
        <v>74</v>
      </c>
      <c r="AR436" t="s">
        <v>3835</v>
      </c>
      <c r="AS436" t="s">
        <v>3836</v>
      </c>
      <c r="AT436" t="s">
        <v>6017</v>
      </c>
      <c r="AU436">
        <v>1998</v>
      </c>
      <c r="AV436">
        <v>103</v>
      </c>
      <c r="AW436" t="s">
        <v>6018</v>
      </c>
      <c r="AX436" t="s">
        <v>74</v>
      </c>
      <c r="AY436" t="s">
        <v>74</v>
      </c>
      <c r="AZ436" t="s">
        <v>74</v>
      </c>
      <c r="BA436" t="s">
        <v>74</v>
      </c>
      <c r="BB436">
        <v>24837</v>
      </c>
      <c r="BC436">
        <v>24855</v>
      </c>
      <c r="BD436" t="s">
        <v>74</v>
      </c>
      <c r="BE436" t="s">
        <v>6070</v>
      </c>
      <c r="BF436" t="str">
        <f>HYPERLINK("http://dx.doi.org/10.1029/98JC01617","http://dx.doi.org/10.1029/98JC01617")</f>
        <v>http://dx.doi.org/10.1029/98JC01617</v>
      </c>
      <c r="BG436" t="s">
        <v>74</v>
      </c>
      <c r="BH436" t="s">
        <v>74</v>
      </c>
      <c r="BI436">
        <v>19</v>
      </c>
      <c r="BJ436" t="s">
        <v>451</v>
      </c>
      <c r="BK436" t="s">
        <v>95</v>
      </c>
      <c r="BL436" t="s">
        <v>451</v>
      </c>
      <c r="BM436" t="s">
        <v>6020</v>
      </c>
      <c r="BN436" t="s">
        <v>74</v>
      </c>
      <c r="BO436" t="s">
        <v>74</v>
      </c>
      <c r="BP436" t="s">
        <v>74</v>
      </c>
      <c r="BQ436" t="s">
        <v>74</v>
      </c>
      <c r="BR436" t="s">
        <v>98</v>
      </c>
      <c r="BS436" t="s">
        <v>6071</v>
      </c>
      <c r="BT436" t="str">
        <f>HYPERLINK("https%3A%2F%2Fwww.webofscience.com%2Fwos%2Fwoscc%2Ffull-record%2FWOS:000076374900016","View Full Record in Web of Science")</f>
        <v>View Full Record in Web of Science</v>
      </c>
    </row>
    <row r="437" spans="1:72" x14ac:dyDescent="0.15">
      <c r="A437" t="s">
        <v>72</v>
      </c>
      <c r="B437" t="s">
        <v>6072</v>
      </c>
      <c r="C437" t="s">
        <v>74</v>
      </c>
      <c r="D437" t="s">
        <v>74</v>
      </c>
      <c r="E437" t="s">
        <v>74</v>
      </c>
      <c r="F437" t="s">
        <v>6072</v>
      </c>
      <c r="G437" t="s">
        <v>74</v>
      </c>
      <c r="H437" t="s">
        <v>74</v>
      </c>
      <c r="I437" t="s">
        <v>6073</v>
      </c>
      <c r="J437" t="s">
        <v>3825</v>
      </c>
      <c r="K437" t="s">
        <v>74</v>
      </c>
      <c r="L437" t="s">
        <v>74</v>
      </c>
      <c r="M437" t="s">
        <v>77</v>
      </c>
      <c r="N437" t="s">
        <v>103</v>
      </c>
      <c r="O437" t="s">
        <v>74</v>
      </c>
      <c r="P437" t="s">
        <v>74</v>
      </c>
      <c r="Q437" t="s">
        <v>74</v>
      </c>
      <c r="R437" t="s">
        <v>74</v>
      </c>
      <c r="S437" t="s">
        <v>74</v>
      </c>
      <c r="T437" t="s">
        <v>74</v>
      </c>
      <c r="U437" t="s">
        <v>6074</v>
      </c>
      <c r="V437" t="s">
        <v>6075</v>
      </c>
      <c r="W437" t="s">
        <v>6076</v>
      </c>
      <c r="X437" t="s">
        <v>6077</v>
      </c>
      <c r="Y437" t="s">
        <v>6078</v>
      </c>
      <c r="Z437" t="s">
        <v>74</v>
      </c>
      <c r="AA437" t="s">
        <v>74</v>
      </c>
      <c r="AB437" t="s">
        <v>74</v>
      </c>
      <c r="AC437" t="s">
        <v>74</v>
      </c>
      <c r="AD437" t="s">
        <v>74</v>
      </c>
      <c r="AE437" t="s">
        <v>74</v>
      </c>
      <c r="AF437" t="s">
        <v>74</v>
      </c>
      <c r="AG437">
        <v>60</v>
      </c>
      <c r="AH437">
        <v>17</v>
      </c>
      <c r="AI437">
        <v>17</v>
      </c>
      <c r="AJ437">
        <v>0</v>
      </c>
      <c r="AK437">
        <v>5</v>
      </c>
      <c r="AL437" t="s">
        <v>966</v>
      </c>
      <c r="AM437" t="s">
        <v>967</v>
      </c>
      <c r="AN437" t="s">
        <v>968</v>
      </c>
      <c r="AO437" t="s">
        <v>74</v>
      </c>
      <c r="AP437" t="s">
        <v>74</v>
      </c>
      <c r="AQ437" t="s">
        <v>74</v>
      </c>
      <c r="AR437" t="s">
        <v>3835</v>
      </c>
      <c r="AS437" t="s">
        <v>3836</v>
      </c>
      <c r="AT437" t="s">
        <v>6017</v>
      </c>
      <c r="AU437">
        <v>1998</v>
      </c>
      <c r="AV437">
        <v>103</v>
      </c>
      <c r="AW437" t="s">
        <v>6018</v>
      </c>
      <c r="AX437" t="s">
        <v>74</v>
      </c>
      <c r="AY437" t="s">
        <v>74</v>
      </c>
      <c r="AZ437" t="s">
        <v>74</v>
      </c>
      <c r="BA437" t="s">
        <v>74</v>
      </c>
      <c r="BB437">
        <v>24891</v>
      </c>
      <c r="BC437">
        <v>24906</v>
      </c>
      <c r="BD437" t="s">
        <v>74</v>
      </c>
      <c r="BE437" t="s">
        <v>6079</v>
      </c>
      <c r="BF437" t="str">
        <f>HYPERLINK("http://dx.doi.org/10.1029/98JC02413","http://dx.doi.org/10.1029/98JC02413")</f>
        <v>http://dx.doi.org/10.1029/98JC02413</v>
      </c>
      <c r="BG437" t="s">
        <v>74</v>
      </c>
      <c r="BH437" t="s">
        <v>74</v>
      </c>
      <c r="BI437">
        <v>16</v>
      </c>
      <c r="BJ437" t="s">
        <v>451</v>
      </c>
      <c r="BK437" t="s">
        <v>95</v>
      </c>
      <c r="BL437" t="s">
        <v>451</v>
      </c>
      <c r="BM437" t="s">
        <v>6020</v>
      </c>
      <c r="BN437" t="s">
        <v>74</v>
      </c>
      <c r="BO437" t="s">
        <v>74</v>
      </c>
      <c r="BP437" t="s">
        <v>74</v>
      </c>
      <c r="BQ437" t="s">
        <v>74</v>
      </c>
      <c r="BR437" t="s">
        <v>98</v>
      </c>
      <c r="BS437" t="s">
        <v>6080</v>
      </c>
      <c r="BT437" t="str">
        <f>HYPERLINK("https%3A%2F%2Fwww.webofscience.com%2Fwos%2Fwoscc%2Ffull-record%2FWOS:000076374900020","View Full Record in Web of Science")</f>
        <v>View Full Record in Web of Science</v>
      </c>
    </row>
    <row r="438" spans="1:72" x14ac:dyDescent="0.15">
      <c r="A438" t="s">
        <v>72</v>
      </c>
      <c r="B438" t="s">
        <v>6081</v>
      </c>
      <c r="C438" t="s">
        <v>74</v>
      </c>
      <c r="D438" t="s">
        <v>74</v>
      </c>
      <c r="E438" t="s">
        <v>74</v>
      </c>
      <c r="F438" t="s">
        <v>6081</v>
      </c>
      <c r="G438" t="s">
        <v>74</v>
      </c>
      <c r="H438" t="s">
        <v>74</v>
      </c>
      <c r="I438" t="s">
        <v>6082</v>
      </c>
      <c r="J438" t="s">
        <v>6083</v>
      </c>
      <c r="K438" t="s">
        <v>74</v>
      </c>
      <c r="L438" t="s">
        <v>74</v>
      </c>
      <c r="M438" t="s">
        <v>77</v>
      </c>
      <c r="N438" t="s">
        <v>3384</v>
      </c>
      <c r="O438" t="s">
        <v>74</v>
      </c>
      <c r="P438" t="s">
        <v>74</v>
      </c>
      <c r="Q438" t="s">
        <v>74</v>
      </c>
      <c r="R438" t="s">
        <v>74</v>
      </c>
      <c r="S438" t="s">
        <v>74</v>
      </c>
      <c r="T438" t="s">
        <v>74</v>
      </c>
      <c r="U438" t="s">
        <v>74</v>
      </c>
      <c r="V438" t="s">
        <v>74</v>
      </c>
      <c r="W438" t="s">
        <v>6084</v>
      </c>
      <c r="X438" t="s">
        <v>74</v>
      </c>
      <c r="Y438" t="s">
        <v>6085</v>
      </c>
      <c r="Z438" t="s">
        <v>74</v>
      </c>
      <c r="AA438" t="s">
        <v>74</v>
      </c>
      <c r="AB438" t="s">
        <v>74</v>
      </c>
      <c r="AC438" t="s">
        <v>74</v>
      </c>
      <c r="AD438" t="s">
        <v>74</v>
      </c>
      <c r="AE438" t="s">
        <v>74</v>
      </c>
      <c r="AF438" t="s">
        <v>74</v>
      </c>
      <c r="AG438">
        <v>1</v>
      </c>
      <c r="AH438">
        <v>0</v>
      </c>
      <c r="AI438">
        <v>0</v>
      </c>
      <c r="AJ438">
        <v>0</v>
      </c>
      <c r="AK438">
        <v>0</v>
      </c>
      <c r="AL438" t="s">
        <v>6086</v>
      </c>
      <c r="AM438" t="s">
        <v>278</v>
      </c>
      <c r="AN438" t="s">
        <v>6087</v>
      </c>
      <c r="AO438" t="s">
        <v>6088</v>
      </c>
      <c r="AP438" t="s">
        <v>74</v>
      </c>
      <c r="AQ438" t="s">
        <v>74</v>
      </c>
      <c r="AR438" t="s">
        <v>6089</v>
      </c>
      <c r="AS438" t="s">
        <v>6090</v>
      </c>
      <c r="AT438" t="s">
        <v>6017</v>
      </c>
      <c r="AU438">
        <v>1998</v>
      </c>
      <c r="AV438">
        <v>123</v>
      </c>
      <c r="AW438">
        <v>17</v>
      </c>
      <c r="AX438" t="s">
        <v>74</v>
      </c>
      <c r="AY438" t="s">
        <v>74</v>
      </c>
      <c r="AZ438" t="s">
        <v>74</v>
      </c>
      <c r="BA438" t="s">
        <v>74</v>
      </c>
      <c r="BB438">
        <v>81</v>
      </c>
      <c r="BC438">
        <v>81</v>
      </c>
      <c r="BD438" t="s">
        <v>74</v>
      </c>
      <c r="BE438" t="s">
        <v>74</v>
      </c>
      <c r="BF438" t="s">
        <v>74</v>
      </c>
      <c r="BG438" t="s">
        <v>74</v>
      </c>
      <c r="BH438" t="s">
        <v>74</v>
      </c>
      <c r="BI438">
        <v>1</v>
      </c>
      <c r="BJ438" t="s">
        <v>6091</v>
      </c>
      <c r="BK438" t="s">
        <v>3394</v>
      </c>
      <c r="BL438" t="s">
        <v>6091</v>
      </c>
      <c r="BM438" t="s">
        <v>6092</v>
      </c>
      <c r="BN438" t="s">
        <v>74</v>
      </c>
      <c r="BO438" t="s">
        <v>74</v>
      </c>
      <c r="BP438" t="s">
        <v>74</v>
      </c>
      <c r="BQ438" t="s">
        <v>74</v>
      </c>
      <c r="BR438" t="s">
        <v>98</v>
      </c>
      <c r="BS438" t="s">
        <v>6093</v>
      </c>
      <c r="BT438" t="str">
        <f>HYPERLINK("https%3A%2F%2Fwww.webofscience.com%2Fwos%2Fwoscc%2Ffull-record%2FWOS:000076403600116","View Full Record in Web of Science")</f>
        <v>View Full Record in Web of Science</v>
      </c>
    </row>
    <row r="439" spans="1:72" x14ac:dyDescent="0.15">
      <c r="A439" t="s">
        <v>72</v>
      </c>
      <c r="B439" t="s">
        <v>2182</v>
      </c>
      <c r="C439" t="s">
        <v>74</v>
      </c>
      <c r="D439" t="s">
        <v>74</v>
      </c>
      <c r="E439" t="s">
        <v>74</v>
      </c>
      <c r="F439" t="s">
        <v>2182</v>
      </c>
      <c r="G439" t="s">
        <v>74</v>
      </c>
      <c r="H439" t="s">
        <v>74</v>
      </c>
      <c r="I439" t="s">
        <v>6094</v>
      </c>
      <c r="J439" t="s">
        <v>6095</v>
      </c>
      <c r="K439" t="s">
        <v>74</v>
      </c>
      <c r="L439" t="s">
        <v>74</v>
      </c>
      <c r="M439" t="s">
        <v>77</v>
      </c>
      <c r="N439" t="s">
        <v>2185</v>
      </c>
      <c r="O439" t="s">
        <v>74</v>
      </c>
      <c r="P439" t="s">
        <v>74</v>
      </c>
      <c r="Q439" t="s">
        <v>74</v>
      </c>
      <c r="R439" t="s">
        <v>74</v>
      </c>
      <c r="S439" t="s">
        <v>74</v>
      </c>
      <c r="T439" t="s">
        <v>74</v>
      </c>
      <c r="U439" t="s">
        <v>74</v>
      </c>
      <c r="V439" t="s">
        <v>74</v>
      </c>
      <c r="W439" t="s">
        <v>74</v>
      </c>
      <c r="X439" t="s">
        <v>74</v>
      </c>
      <c r="Y439" t="s">
        <v>74</v>
      </c>
      <c r="Z439" t="s">
        <v>74</v>
      </c>
      <c r="AA439" t="s">
        <v>74</v>
      </c>
      <c r="AB439" t="s">
        <v>74</v>
      </c>
      <c r="AC439" t="s">
        <v>74</v>
      </c>
      <c r="AD439" t="s">
        <v>74</v>
      </c>
      <c r="AE439" t="s">
        <v>74</v>
      </c>
      <c r="AF439" t="s">
        <v>74</v>
      </c>
      <c r="AG439">
        <v>0</v>
      </c>
      <c r="AH439">
        <v>0</v>
      </c>
      <c r="AI439">
        <v>0</v>
      </c>
      <c r="AJ439">
        <v>0</v>
      </c>
      <c r="AK439">
        <v>0</v>
      </c>
      <c r="AL439" t="s">
        <v>3813</v>
      </c>
      <c r="AM439" t="s">
        <v>967</v>
      </c>
      <c r="AN439" t="s">
        <v>3814</v>
      </c>
      <c r="AO439" t="s">
        <v>6096</v>
      </c>
      <c r="AP439" t="s">
        <v>74</v>
      </c>
      <c r="AQ439" t="s">
        <v>74</v>
      </c>
      <c r="AR439" t="s">
        <v>6097</v>
      </c>
      <c r="AS439" t="s">
        <v>6098</v>
      </c>
      <c r="AT439" t="s">
        <v>6099</v>
      </c>
      <c r="AU439">
        <v>1998</v>
      </c>
      <c r="AV439">
        <v>76</v>
      </c>
      <c r="AW439">
        <v>41</v>
      </c>
      <c r="AX439" t="s">
        <v>74</v>
      </c>
      <c r="AY439" t="s">
        <v>74</v>
      </c>
      <c r="AZ439" t="s">
        <v>74</v>
      </c>
      <c r="BA439" t="s">
        <v>74</v>
      </c>
      <c r="BB439">
        <v>36</v>
      </c>
      <c r="BC439">
        <v>36</v>
      </c>
      <c r="BD439" t="s">
        <v>74</v>
      </c>
      <c r="BE439" t="s">
        <v>74</v>
      </c>
      <c r="BF439" t="s">
        <v>74</v>
      </c>
      <c r="BG439" t="s">
        <v>74</v>
      </c>
      <c r="BH439" t="s">
        <v>74</v>
      </c>
      <c r="BI439">
        <v>1</v>
      </c>
      <c r="BJ439" t="s">
        <v>6100</v>
      </c>
      <c r="BK439" t="s">
        <v>95</v>
      </c>
      <c r="BL439" t="s">
        <v>6101</v>
      </c>
      <c r="BM439" t="s">
        <v>6102</v>
      </c>
      <c r="BN439" t="s">
        <v>74</v>
      </c>
      <c r="BO439" t="s">
        <v>74</v>
      </c>
      <c r="BP439" t="s">
        <v>74</v>
      </c>
      <c r="BQ439" t="s">
        <v>74</v>
      </c>
      <c r="BR439" t="s">
        <v>98</v>
      </c>
      <c r="BS439" t="s">
        <v>6103</v>
      </c>
      <c r="BT439" t="str">
        <f>HYPERLINK("https%3A%2F%2Fwww.webofscience.com%2Fwos%2Fwoscc%2Ffull-record%2FWOS:000076454500045","View Full Record in Web of Science")</f>
        <v>View Full Record in Web of Science</v>
      </c>
    </row>
    <row r="440" spans="1:72" x14ac:dyDescent="0.15">
      <c r="A440" t="s">
        <v>72</v>
      </c>
      <c r="B440" t="s">
        <v>6104</v>
      </c>
      <c r="C440" t="s">
        <v>74</v>
      </c>
      <c r="D440" t="s">
        <v>74</v>
      </c>
      <c r="E440" t="s">
        <v>74</v>
      </c>
      <c r="F440" t="s">
        <v>6104</v>
      </c>
      <c r="G440" t="s">
        <v>74</v>
      </c>
      <c r="H440" t="s">
        <v>74</v>
      </c>
      <c r="I440" t="s">
        <v>6105</v>
      </c>
      <c r="J440" t="s">
        <v>6106</v>
      </c>
      <c r="K440" t="s">
        <v>74</v>
      </c>
      <c r="L440" t="s">
        <v>74</v>
      </c>
      <c r="M440" t="s">
        <v>77</v>
      </c>
      <c r="N440" t="s">
        <v>103</v>
      </c>
      <c r="O440" t="s">
        <v>74</v>
      </c>
      <c r="P440" t="s">
        <v>74</v>
      </c>
      <c r="Q440" t="s">
        <v>74</v>
      </c>
      <c r="R440" t="s">
        <v>74</v>
      </c>
      <c r="S440" t="s">
        <v>74</v>
      </c>
      <c r="T440" t="s">
        <v>74</v>
      </c>
      <c r="U440" t="s">
        <v>6107</v>
      </c>
      <c r="V440" t="s">
        <v>6108</v>
      </c>
      <c r="W440" t="s">
        <v>6109</v>
      </c>
      <c r="X440" t="s">
        <v>6110</v>
      </c>
      <c r="Y440" t="s">
        <v>6111</v>
      </c>
      <c r="Z440" t="s">
        <v>6112</v>
      </c>
      <c r="AA440" t="s">
        <v>6113</v>
      </c>
      <c r="AB440" t="s">
        <v>74</v>
      </c>
      <c r="AC440" t="s">
        <v>74</v>
      </c>
      <c r="AD440" t="s">
        <v>74</v>
      </c>
      <c r="AE440" t="s">
        <v>74</v>
      </c>
      <c r="AF440" t="s">
        <v>74</v>
      </c>
      <c r="AG440">
        <v>62</v>
      </c>
      <c r="AH440">
        <v>72</v>
      </c>
      <c r="AI440">
        <v>80</v>
      </c>
      <c r="AJ440">
        <v>0</v>
      </c>
      <c r="AK440">
        <v>4</v>
      </c>
      <c r="AL440" t="s">
        <v>966</v>
      </c>
      <c r="AM440" t="s">
        <v>967</v>
      </c>
      <c r="AN440" t="s">
        <v>968</v>
      </c>
      <c r="AO440" t="s">
        <v>6114</v>
      </c>
      <c r="AP440" t="s">
        <v>6115</v>
      </c>
      <c r="AQ440" t="s">
        <v>74</v>
      </c>
      <c r="AR440" t="s">
        <v>6116</v>
      </c>
      <c r="AS440" t="s">
        <v>6117</v>
      </c>
      <c r="AT440" t="s">
        <v>6118</v>
      </c>
      <c r="AU440">
        <v>1998</v>
      </c>
      <c r="AV440">
        <v>103</v>
      </c>
      <c r="AW440" t="s">
        <v>6119</v>
      </c>
      <c r="AX440" t="s">
        <v>74</v>
      </c>
      <c r="AY440" t="s">
        <v>74</v>
      </c>
      <c r="AZ440" t="s">
        <v>74</v>
      </c>
      <c r="BA440" t="s">
        <v>74</v>
      </c>
      <c r="BB440">
        <v>24017</v>
      </c>
      <c r="BC440">
        <v>24043</v>
      </c>
      <c r="BD440" t="s">
        <v>74</v>
      </c>
      <c r="BE440" t="s">
        <v>6120</v>
      </c>
      <c r="BF440" t="str">
        <f>HYPERLINK("http://dx.doi.org/10.1029/98JB01117","http://dx.doi.org/10.1029/98JB01117")</f>
        <v>http://dx.doi.org/10.1029/98JB01117</v>
      </c>
      <c r="BG440" t="s">
        <v>74</v>
      </c>
      <c r="BH440" t="s">
        <v>74</v>
      </c>
      <c r="BI440">
        <v>29</v>
      </c>
      <c r="BJ440" t="s">
        <v>303</v>
      </c>
      <c r="BK440" t="s">
        <v>95</v>
      </c>
      <c r="BL440" t="s">
        <v>303</v>
      </c>
      <c r="BM440" t="s">
        <v>6121</v>
      </c>
      <c r="BN440" t="s">
        <v>74</v>
      </c>
      <c r="BO440" t="s">
        <v>1089</v>
      </c>
      <c r="BP440" t="s">
        <v>74</v>
      </c>
      <c r="BQ440" t="s">
        <v>74</v>
      </c>
      <c r="BR440" t="s">
        <v>98</v>
      </c>
      <c r="BS440" t="s">
        <v>6122</v>
      </c>
      <c r="BT440" t="str">
        <f>HYPERLINK("https%3A%2F%2Fwww.webofscience.com%2Fwos%2Fwoscc%2Ffull-record%2FWOS:000076373400017","View Full Record in Web of Science")</f>
        <v>View Full Record in Web of Science</v>
      </c>
    </row>
    <row r="441" spans="1:72" x14ac:dyDescent="0.15">
      <c r="A441" t="s">
        <v>72</v>
      </c>
      <c r="B441" t="s">
        <v>6123</v>
      </c>
      <c r="C441" t="s">
        <v>74</v>
      </c>
      <c r="D441" t="s">
        <v>74</v>
      </c>
      <c r="E441" t="s">
        <v>74</v>
      </c>
      <c r="F441" t="s">
        <v>6123</v>
      </c>
      <c r="G441" t="s">
        <v>74</v>
      </c>
      <c r="H441" t="s">
        <v>74</v>
      </c>
      <c r="I441" t="s">
        <v>6124</v>
      </c>
      <c r="J441" t="s">
        <v>6125</v>
      </c>
      <c r="K441" t="s">
        <v>74</v>
      </c>
      <c r="L441" t="s">
        <v>74</v>
      </c>
      <c r="M441" t="s">
        <v>77</v>
      </c>
      <c r="N441" t="s">
        <v>103</v>
      </c>
      <c r="O441" t="s">
        <v>74</v>
      </c>
      <c r="P441" t="s">
        <v>74</v>
      </c>
      <c r="Q441" t="s">
        <v>74</v>
      </c>
      <c r="R441" t="s">
        <v>74</v>
      </c>
      <c r="S441" t="s">
        <v>74</v>
      </c>
      <c r="T441" t="s">
        <v>6126</v>
      </c>
      <c r="U441" t="s">
        <v>6127</v>
      </c>
      <c r="V441" t="s">
        <v>6128</v>
      </c>
      <c r="W441" t="s">
        <v>6129</v>
      </c>
      <c r="X441" t="s">
        <v>6130</v>
      </c>
      <c r="Y441" t="s">
        <v>6131</v>
      </c>
      <c r="Z441" t="s">
        <v>74</v>
      </c>
      <c r="AA441" t="s">
        <v>74</v>
      </c>
      <c r="AB441" t="s">
        <v>74</v>
      </c>
      <c r="AC441" t="s">
        <v>74</v>
      </c>
      <c r="AD441" t="s">
        <v>74</v>
      </c>
      <c r="AE441" t="s">
        <v>74</v>
      </c>
      <c r="AF441" t="s">
        <v>74</v>
      </c>
      <c r="AG441">
        <v>18</v>
      </c>
      <c r="AH441">
        <v>7</v>
      </c>
      <c r="AI441">
        <v>9</v>
      </c>
      <c r="AJ441">
        <v>0</v>
      </c>
      <c r="AK441">
        <v>4</v>
      </c>
      <c r="AL441" t="s">
        <v>6132</v>
      </c>
      <c r="AM441" t="s">
        <v>6133</v>
      </c>
      <c r="AN441" t="s">
        <v>6134</v>
      </c>
      <c r="AO441" t="s">
        <v>6135</v>
      </c>
      <c r="AP441" t="s">
        <v>6136</v>
      </c>
      <c r="AQ441" t="s">
        <v>74</v>
      </c>
      <c r="AR441" t="s">
        <v>6137</v>
      </c>
      <c r="AS441" t="s">
        <v>6138</v>
      </c>
      <c r="AT441" t="s">
        <v>6139</v>
      </c>
      <c r="AU441">
        <v>1998</v>
      </c>
      <c r="AV441">
        <v>43</v>
      </c>
      <c r="AW441">
        <v>4</v>
      </c>
      <c r="AX441" t="s">
        <v>74</v>
      </c>
      <c r="AY441" t="s">
        <v>74</v>
      </c>
      <c r="AZ441" t="s">
        <v>74</v>
      </c>
      <c r="BA441" t="s">
        <v>74</v>
      </c>
      <c r="BB441">
        <v>200</v>
      </c>
      <c r="BC441">
        <v>208</v>
      </c>
      <c r="BD441" t="s">
        <v>74</v>
      </c>
      <c r="BE441" t="s">
        <v>74</v>
      </c>
      <c r="BF441" t="s">
        <v>74</v>
      </c>
      <c r="BG441" t="s">
        <v>74</v>
      </c>
      <c r="BH441" t="s">
        <v>74</v>
      </c>
      <c r="BI441">
        <v>9</v>
      </c>
      <c r="BJ441" t="s">
        <v>6140</v>
      </c>
      <c r="BK441" t="s">
        <v>95</v>
      </c>
      <c r="BL441" t="s">
        <v>6140</v>
      </c>
      <c r="BM441" t="s">
        <v>6141</v>
      </c>
      <c r="BN441" t="s">
        <v>74</v>
      </c>
      <c r="BO441" t="s">
        <v>74</v>
      </c>
      <c r="BP441" t="s">
        <v>74</v>
      </c>
      <c r="BQ441" t="s">
        <v>74</v>
      </c>
      <c r="BR441" t="s">
        <v>98</v>
      </c>
      <c r="BS441" t="s">
        <v>6142</v>
      </c>
      <c r="BT441" t="str">
        <f>HYPERLINK("https%3A%2F%2Fwww.webofscience.com%2Fwos%2Fwoscc%2Ffull-record%2FWOS:000078074000005","View Full Record in Web of Science")</f>
        <v>View Full Record in Web of Science</v>
      </c>
    </row>
    <row r="442" spans="1:72" x14ac:dyDescent="0.15">
      <c r="A442" t="s">
        <v>72</v>
      </c>
      <c r="B442" t="s">
        <v>6143</v>
      </c>
      <c r="C442" t="s">
        <v>74</v>
      </c>
      <c r="D442" t="s">
        <v>74</v>
      </c>
      <c r="E442" t="s">
        <v>74</v>
      </c>
      <c r="F442" t="s">
        <v>6143</v>
      </c>
      <c r="G442" t="s">
        <v>74</v>
      </c>
      <c r="H442" t="s">
        <v>74</v>
      </c>
      <c r="I442" t="s">
        <v>6144</v>
      </c>
      <c r="J442" t="s">
        <v>5020</v>
      </c>
      <c r="K442" t="s">
        <v>74</v>
      </c>
      <c r="L442" t="s">
        <v>74</v>
      </c>
      <c r="M442" t="s">
        <v>77</v>
      </c>
      <c r="N442" t="s">
        <v>103</v>
      </c>
      <c r="O442" t="s">
        <v>74</v>
      </c>
      <c r="P442" t="s">
        <v>74</v>
      </c>
      <c r="Q442" t="s">
        <v>74</v>
      </c>
      <c r="R442" t="s">
        <v>74</v>
      </c>
      <c r="S442" t="s">
        <v>74</v>
      </c>
      <c r="T442" t="s">
        <v>6145</v>
      </c>
      <c r="U442" t="s">
        <v>6146</v>
      </c>
      <c r="V442" t="s">
        <v>6147</v>
      </c>
      <c r="W442" t="s">
        <v>6148</v>
      </c>
      <c r="X442" t="s">
        <v>6149</v>
      </c>
      <c r="Y442" t="s">
        <v>6150</v>
      </c>
      <c r="Z442" t="s">
        <v>6151</v>
      </c>
      <c r="AA442" t="s">
        <v>6152</v>
      </c>
      <c r="AB442" t="s">
        <v>74</v>
      </c>
      <c r="AC442" t="s">
        <v>74</v>
      </c>
      <c r="AD442" t="s">
        <v>74</v>
      </c>
      <c r="AE442" t="s">
        <v>74</v>
      </c>
      <c r="AF442" t="s">
        <v>74</v>
      </c>
      <c r="AG442">
        <v>98</v>
      </c>
      <c r="AH442">
        <v>231</v>
      </c>
      <c r="AI442">
        <v>254</v>
      </c>
      <c r="AJ442">
        <v>2</v>
      </c>
      <c r="AK442">
        <v>114</v>
      </c>
      <c r="AL442" t="s">
        <v>5025</v>
      </c>
      <c r="AM442" t="s">
        <v>5026</v>
      </c>
      <c r="AN442" t="s">
        <v>6153</v>
      </c>
      <c r="AO442" t="s">
        <v>5028</v>
      </c>
      <c r="AP442" t="s">
        <v>6154</v>
      </c>
      <c r="AQ442" t="s">
        <v>74</v>
      </c>
      <c r="AR442" t="s">
        <v>5029</v>
      </c>
      <c r="AS442" t="s">
        <v>5030</v>
      </c>
      <c r="AT442" t="s">
        <v>6139</v>
      </c>
      <c r="AU442">
        <v>1998</v>
      </c>
      <c r="AV442">
        <v>152</v>
      </c>
      <c r="AW442">
        <v>4</v>
      </c>
      <c r="AX442" t="s">
        <v>74</v>
      </c>
      <c r="AY442" t="s">
        <v>74</v>
      </c>
      <c r="AZ442" t="s">
        <v>74</v>
      </c>
      <c r="BA442" t="s">
        <v>74</v>
      </c>
      <c r="BB442">
        <v>562</v>
      </c>
      <c r="BC442">
        <v>575</v>
      </c>
      <c r="BD442" t="s">
        <v>74</v>
      </c>
      <c r="BE442" t="s">
        <v>6155</v>
      </c>
      <c r="BF442" t="str">
        <f>HYPERLINK("http://dx.doi.org/10.1086/286190","http://dx.doi.org/10.1086/286190")</f>
        <v>http://dx.doi.org/10.1086/286190</v>
      </c>
      <c r="BG442" t="s">
        <v>74</v>
      </c>
      <c r="BH442" t="s">
        <v>74</v>
      </c>
      <c r="BI442">
        <v>14</v>
      </c>
      <c r="BJ442" t="s">
        <v>5032</v>
      </c>
      <c r="BK442" t="s">
        <v>95</v>
      </c>
      <c r="BL442" t="s">
        <v>5033</v>
      </c>
      <c r="BM442" t="s">
        <v>6156</v>
      </c>
      <c r="BN442">
        <v>18811364</v>
      </c>
      <c r="BO442" t="s">
        <v>1005</v>
      </c>
      <c r="BP442" t="s">
        <v>74</v>
      </c>
      <c r="BQ442" t="s">
        <v>74</v>
      </c>
      <c r="BR442" t="s">
        <v>98</v>
      </c>
      <c r="BS442" t="s">
        <v>6157</v>
      </c>
      <c r="BT442" t="str">
        <f>HYPERLINK("https%3A%2F%2Fwww.webofscience.com%2Fwos%2Fwoscc%2Ffull-record%2FWOS:000076014900005","View Full Record in Web of Science")</f>
        <v>View Full Record in Web of Science</v>
      </c>
    </row>
    <row r="443" spans="1:72" x14ac:dyDescent="0.15">
      <c r="A443" t="s">
        <v>72</v>
      </c>
      <c r="B443" t="s">
        <v>6158</v>
      </c>
      <c r="C443" t="s">
        <v>74</v>
      </c>
      <c r="D443" t="s">
        <v>74</v>
      </c>
      <c r="E443" t="s">
        <v>74</v>
      </c>
      <c r="F443" t="s">
        <v>6158</v>
      </c>
      <c r="G443" t="s">
        <v>74</v>
      </c>
      <c r="H443" t="s">
        <v>74</v>
      </c>
      <c r="I443" t="s">
        <v>6159</v>
      </c>
      <c r="J443" t="s">
        <v>3936</v>
      </c>
      <c r="K443" t="s">
        <v>74</v>
      </c>
      <c r="L443" t="s">
        <v>74</v>
      </c>
      <c r="M443" t="s">
        <v>77</v>
      </c>
      <c r="N443" t="s">
        <v>123</v>
      </c>
      <c r="O443" t="s">
        <v>6160</v>
      </c>
      <c r="P443" t="s">
        <v>6161</v>
      </c>
      <c r="Q443" t="s">
        <v>6162</v>
      </c>
      <c r="R443" t="s">
        <v>74</v>
      </c>
      <c r="S443" t="s">
        <v>6163</v>
      </c>
      <c r="T443" t="s">
        <v>6164</v>
      </c>
      <c r="U443" t="s">
        <v>6165</v>
      </c>
      <c r="V443" t="s">
        <v>6166</v>
      </c>
      <c r="W443" t="s">
        <v>6167</v>
      </c>
      <c r="X443" t="s">
        <v>6168</v>
      </c>
      <c r="Y443" t="s">
        <v>6169</v>
      </c>
      <c r="Z443" t="s">
        <v>6170</v>
      </c>
      <c r="AA443" t="s">
        <v>74</v>
      </c>
      <c r="AB443" t="s">
        <v>74</v>
      </c>
      <c r="AC443" t="s">
        <v>74</v>
      </c>
      <c r="AD443" t="s">
        <v>74</v>
      </c>
      <c r="AE443" t="s">
        <v>74</v>
      </c>
      <c r="AF443" t="s">
        <v>74</v>
      </c>
      <c r="AG443">
        <v>13</v>
      </c>
      <c r="AH443">
        <v>18</v>
      </c>
      <c r="AI443">
        <v>18</v>
      </c>
      <c r="AJ443">
        <v>0</v>
      </c>
      <c r="AK443">
        <v>1</v>
      </c>
      <c r="AL443" t="s">
        <v>805</v>
      </c>
      <c r="AM443" t="s">
        <v>278</v>
      </c>
      <c r="AN443" t="s">
        <v>806</v>
      </c>
      <c r="AO443" t="s">
        <v>3943</v>
      </c>
      <c r="AP443" t="s">
        <v>74</v>
      </c>
      <c r="AQ443" t="s">
        <v>74</v>
      </c>
      <c r="AR443" t="s">
        <v>3944</v>
      </c>
      <c r="AS443" t="s">
        <v>3945</v>
      </c>
      <c r="AT443" t="s">
        <v>6139</v>
      </c>
      <c r="AU443">
        <v>1998</v>
      </c>
      <c r="AV443">
        <v>16</v>
      </c>
      <c r="AW443">
        <v>10</v>
      </c>
      <c r="AX443" t="s">
        <v>74</v>
      </c>
      <c r="AY443" t="s">
        <v>74</v>
      </c>
      <c r="AZ443" t="s">
        <v>74</v>
      </c>
      <c r="BA443" t="s">
        <v>74</v>
      </c>
      <c r="BB443">
        <v>1138</v>
      </c>
      <c r="BC443">
        <v>1143</v>
      </c>
      <c r="BD443" t="s">
        <v>74</v>
      </c>
      <c r="BE443" t="s">
        <v>6171</v>
      </c>
      <c r="BF443" t="str">
        <f>HYPERLINK("http://dx.doi.org/10.1007/s005850050683","http://dx.doi.org/10.1007/s005850050683")</f>
        <v>http://dx.doi.org/10.1007/s005850050683</v>
      </c>
      <c r="BG443" t="s">
        <v>74</v>
      </c>
      <c r="BH443" t="s">
        <v>74</v>
      </c>
      <c r="BI443">
        <v>6</v>
      </c>
      <c r="BJ443" t="s">
        <v>3948</v>
      </c>
      <c r="BK443" t="s">
        <v>144</v>
      </c>
      <c r="BL443" t="s">
        <v>3949</v>
      </c>
      <c r="BM443" t="s">
        <v>6172</v>
      </c>
      <c r="BN443" t="s">
        <v>74</v>
      </c>
      <c r="BO443" t="s">
        <v>3951</v>
      </c>
      <c r="BP443" t="s">
        <v>74</v>
      </c>
      <c r="BQ443" t="s">
        <v>74</v>
      </c>
      <c r="BR443" t="s">
        <v>98</v>
      </c>
      <c r="BS443" t="s">
        <v>6173</v>
      </c>
      <c r="BT443" t="str">
        <f>HYPERLINK("https%3A%2F%2Fwww.webofscience.com%2Fwos%2Fwoscc%2Ffull-record%2FWOS:000076656700002","View Full Record in Web of Science")</f>
        <v>View Full Record in Web of Science</v>
      </c>
    </row>
    <row r="444" spans="1:72" x14ac:dyDescent="0.15">
      <c r="A444" t="s">
        <v>72</v>
      </c>
      <c r="B444" t="s">
        <v>6174</v>
      </c>
      <c r="C444" t="s">
        <v>74</v>
      </c>
      <c r="D444" t="s">
        <v>74</v>
      </c>
      <c r="E444" t="s">
        <v>74</v>
      </c>
      <c r="F444" t="s">
        <v>6174</v>
      </c>
      <c r="G444" t="s">
        <v>74</v>
      </c>
      <c r="H444" t="s">
        <v>74</v>
      </c>
      <c r="I444" t="s">
        <v>6175</v>
      </c>
      <c r="J444" t="s">
        <v>3936</v>
      </c>
      <c r="K444" t="s">
        <v>74</v>
      </c>
      <c r="L444" t="s">
        <v>74</v>
      </c>
      <c r="M444" t="s">
        <v>77</v>
      </c>
      <c r="N444" t="s">
        <v>123</v>
      </c>
      <c r="O444" t="s">
        <v>6160</v>
      </c>
      <c r="P444" t="s">
        <v>6161</v>
      </c>
      <c r="Q444" t="s">
        <v>6162</v>
      </c>
      <c r="R444" t="s">
        <v>74</v>
      </c>
      <c r="S444" t="s">
        <v>6163</v>
      </c>
      <c r="T444" t="s">
        <v>6176</v>
      </c>
      <c r="U444" t="s">
        <v>6177</v>
      </c>
      <c r="V444" t="s">
        <v>6178</v>
      </c>
      <c r="W444" t="s">
        <v>6179</v>
      </c>
      <c r="X444" t="s">
        <v>6180</v>
      </c>
      <c r="Y444" t="s">
        <v>6181</v>
      </c>
      <c r="Z444" t="s">
        <v>74</v>
      </c>
      <c r="AA444" t="s">
        <v>6182</v>
      </c>
      <c r="AB444" t="s">
        <v>6183</v>
      </c>
      <c r="AC444" t="s">
        <v>74</v>
      </c>
      <c r="AD444" t="s">
        <v>74</v>
      </c>
      <c r="AE444" t="s">
        <v>74</v>
      </c>
      <c r="AF444" t="s">
        <v>74</v>
      </c>
      <c r="AG444">
        <v>30</v>
      </c>
      <c r="AH444">
        <v>26</v>
      </c>
      <c r="AI444">
        <v>28</v>
      </c>
      <c r="AJ444">
        <v>0</v>
      </c>
      <c r="AK444">
        <v>1</v>
      </c>
      <c r="AL444" t="s">
        <v>887</v>
      </c>
      <c r="AM444" t="s">
        <v>278</v>
      </c>
      <c r="AN444" t="s">
        <v>888</v>
      </c>
      <c r="AO444" t="s">
        <v>3943</v>
      </c>
      <c r="AP444" t="s">
        <v>74</v>
      </c>
      <c r="AQ444" t="s">
        <v>74</v>
      </c>
      <c r="AR444" t="s">
        <v>3944</v>
      </c>
      <c r="AS444" t="s">
        <v>3945</v>
      </c>
      <c r="AT444" t="s">
        <v>6139</v>
      </c>
      <c r="AU444">
        <v>1998</v>
      </c>
      <c r="AV444">
        <v>16</v>
      </c>
      <c r="AW444">
        <v>10</v>
      </c>
      <c r="AX444" t="s">
        <v>74</v>
      </c>
      <c r="AY444" t="s">
        <v>74</v>
      </c>
      <c r="AZ444" t="s">
        <v>74</v>
      </c>
      <c r="BA444" t="s">
        <v>74</v>
      </c>
      <c r="BB444">
        <v>1212</v>
      </c>
      <c r="BC444">
        <v>1225</v>
      </c>
      <c r="BD444" t="s">
        <v>74</v>
      </c>
      <c r="BE444" t="s">
        <v>6184</v>
      </c>
      <c r="BF444" t="str">
        <f>HYPERLINK("http://dx.doi.org/10.1007/s00585-998-1212-5","http://dx.doi.org/10.1007/s00585-998-1212-5")</f>
        <v>http://dx.doi.org/10.1007/s00585-998-1212-5</v>
      </c>
      <c r="BG444" t="s">
        <v>74</v>
      </c>
      <c r="BH444" t="s">
        <v>74</v>
      </c>
      <c r="BI444">
        <v>14</v>
      </c>
      <c r="BJ444" t="s">
        <v>3948</v>
      </c>
      <c r="BK444" t="s">
        <v>235</v>
      </c>
      <c r="BL444" t="s">
        <v>3949</v>
      </c>
      <c r="BM444" t="s">
        <v>6172</v>
      </c>
      <c r="BN444" t="s">
        <v>74</v>
      </c>
      <c r="BO444" t="s">
        <v>3951</v>
      </c>
      <c r="BP444" t="s">
        <v>74</v>
      </c>
      <c r="BQ444" t="s">
        <v>74</v>
      </c>
      <c r="BR444" t="s">
        <v>98</v>
      </c>
      <c r="BS444" t="s">
        <v>6185</v>
      </c>
      <c r="BT444" t="str">
        <f>HYPERLINK("https%3A%2F%2Fwww.webofscience.com%2Fwos%2Fwoscc%2Ffull-record%2FWOS:000076656700009","View Full Record in Web of Science")</f>
        <v>View Full Record in Web of Science</v>
      </c>
    </row>
    <row r="445" spans="1:72" x14ac:dyDescent="0.15">
      <c r="A445" t="s">
        <v>72</v>
      </c>
      <c r="B445" t="s">
        <v>6186</v>
      </c>
      <c r="C445" t="s">
        <v>74</v>
      </c>
      <c r="D445" t="s">
        <v>74</v>
      </c>
      <c r="E445" t="s">
        <v>74</v>
      </c>
      <c r="F445" t="s">
        <v>6186</v>
      </c>
      <c r="G445" t="s">
        <v>74</v>
      </c>
      <c r="H445" t="s">
        <v>74</v>
      </c>
      <c r="I445" t="s">
        <v>6187</v>
      </c>
      <c r="J445" t="s">
        <v>6188</v>
      </c>
      <c r="K445" t="s">
        <v>74</v>
      </c>
      <c r="L445" t="s">
        <v>74</v>
      </c>
      <c r="M445" t="s">
        <v>77</v>
      </c>
      <c r="N445" t="s">
        <v>103</v>
      </c>
      <c r="O445" t="s">
        <v>74</v>
      </c>
      <c r="P445" t="s">
        <v>74</v>
      </c>
      <c r="Q445" t="s">
        <v>74</v>
      </c>
      <c r="R445" t="s">
        <v>74</v>
      </c>
      <c r="S445" t="s">
        <v>74</v>
      </c>
      <c r="T445" t="s">
        <v>74</v>
      </c>
      <c r="U445" t="s">
        <v>6189</v>
      </c>
      <c r="V445" t="s">
        <v>6190</v>
      </c>
      <c r="W445" t="s">
        <v>6191</v>
      </c>
      <c r="X445" t="s">
        <v>6192</v>
      </c>
      <c r="Y445" t="s">
        <v>6193</v>
      </c>
      <c r="Z445" t="s">
        <v>6194</v>
      </c>
      <c r="AA445" t="s">
        <v>6195</v>
      </c>
      <c r="AB445" t="s">
        <v>6196</v>
      </c>
      <c r="AC445" t="s">
        <v>74</v>
      </c>
      <c r="AD445" t="s">
        <v>74</v>
      </c>
      <c r="AE445" t="s">
        <v>74</v>
      </c>
      <c r="AF445" t="s">
        <v>74</v>
      </c>
      <c r="AG445">
        <v>53</v>
      </c>
      <c r="AH445">
        <v>55</v>
      </c>
      <c r="AI445">
        <v>67</v>
      </c>
      <c r="AJ445">
        <v>1</v>
      </c>
      <c r="AK445">
        <v>26</v>
      </c>
      <c r="AL445" t="s">
        <v>6197</v>
      </c>
      <c r="AM445" t="s">
        <v>967</v>
      </c>
      <c r="AN445" t="s">
        <v>6198</v>
      </c>
      <c r="AO445" t="s">
        <v>6199</v>
      </c>
      <c r="AP445" t="s">
        <v>6200</v>
      </c>
      <c r="AQ445" t="s">
        <v>74</v>
      </c>
      <c r="AR445" t="s">
        <v>6201</v>
      </c>
      <c r="AS445" t="s">
        <v>6202</v>
      </c>
      <c r="AT445" t="s">
        <v>6139</v>
      </c>
      <c r="AU445">
        <v>1998</v>
      </c>
      <c r="AV445">
        <v>64</v>
      </c>
      <c r="AW445">
        <v>10</v>
      </c>
      <c r="AX445" t="s">
        <v>74</v>
      </c>
      <c r="AY445" t="s">
        <v>74</v>
      </c>
      <c r="AZ445" t="s">
        <v>74</v>
      </c>
      <c r="BA445" t="s">
        <v>74</v>
      </c>
      <c r="BB445">
        <v>3791</v>
      </c>
      <c r="BC445">
        <v>3797</v>
      </c>
      <c r="BD445" t="s">
        <v>74</v>
      </c>
      <c r="BE445" t="s">
        <v>74</v>
      </c>
      <c r="BF445" t="s">
        <v>74</v>
      </c>
      <c r="BG445" t="s">
        <v>74</v>
      </c>
      <c r="BH445" t="s">
        <v>74</v>
      </c>
      <c r="BI445">
        <v>7</v>
      </c>
      <c r="BJ445" t="s">
        <v>1722</v>
      </c>
      <c r="BK445" t="s">
        <v>95</v>
      </c>
      <c r="BL445" t="s">
        <v>1722</v>
      </c>
      <c r="BM445" t="s">
        <v>6203</v>
      </c>
      <c r="BN445">
        <v>9758801</v>
      </c>
      <c r="BO445" t="s">
        <v>74</v>
      </c>
      <c r="BP445" t="s">
        <v>74</v>
      </c>
      <c r="BQ445" t="s">
        <v>74</v>
      </c>
      <c r="BR445" t="s">
        <v>98</v>
      </c>
      <c r="BS445" t="s">
        <v>6204</v>
      </c>
      <c r="BT445" t="str">
        <f>HYPERLINK("https%3A%2F%2Fwww.webofscience.com%2Fwos%2Fwoscc%2Ffull-record%2FWOS:000076295100036","View Full Record in Web of Science")</f>
        <v>View Full Record in Web of Science</v>
      </c>
    </row>
    <row r="446" spans="1:72" x14ac:dyDescent="0.15">
      <c r="A446" t="s">
        <v>72</v>
      </c>
      <c r="B446" t="s">
        <v>6205</v>
      </c>
      <c r="C446" t="s">
        <v>74</v>
      </c>
      <c r="D446" t="s">
        <v>74</v>
      </c>
      <c r="E446" t="s">
        <v>74</v>
      </c>
      <c r="F446" t="s">
        <v>6205</v>
      </c>
      <c r="G446" t="s">
        <v>74</v>
      </c>
      <c r="H446" t="s">
        <v>74</v>
      </c>
      <c r="I446" t="s">
        <v>6206</v>
      </c>
      <c r="J446" t="s">
        <v>6188</v>
      </c>
      <c r="K446" t="s">
        <v>74</v>
      </c>
      <c r="L446" t="s">
        <v>74</v>
      </c>
      <c r="M446" t="s">
        <v>77</v>
      </c>
      <c r="N446" t="s">
        <v>103</v>
      </c>
      <c r="O446" t="s">
        <v>74</v>
      </c>
      <c r="P446" t="s">
        <v>74</v>
      </c>
      <c r="Q446" t="s">
        <v>74</v>
      </c>
      <c r="R446" t="s">
        <v>74</v>
      </c>
      <c r="S446" t="s">
        <v>74</v>
      </c>
      <c r="T446" t="s">
        <v>74</v>
      </c>
      <c r="U446" t="s">
        <v>6207</v>
      </c>
      <c r="V446" t="s">
        <v>6208</v>
      </c>
      <c r="W446" t="s">
        <v>6209</v>
      </c>
      <c r="X446" t="s">
        <v>6210</v>
      </c>
      <c r="Y446" t="s">
        <v>6211</v>
      </c>
      <c r="Z446" t="s">
        <v>6212</v>
      </c>
      <c r="AA446" t="s">
        <v>74</v>
      </c>
      <c r="AB446" t="s">
        <v>74</v>
      </c>
      <c r="AC446" t="s">
        <v>74</v>
      </c>
      <c r="AD446" t="s">
        <v>74</v>
      </c>
      <c r="AE446" t="s">
        <v>74</v>
      </c>
      <c r="AF446" t="s">
        <v>74</v>
      </c>
      <c r="AG446">
        <v>56</v>
      </c>
      <c r="AH446">
        <v>90</v>
      </c>
      <c r="AI446">
        <v>102</v>
      </c>
      <c r="AJ446">
        <v>0</v>
      </c>
      <c r="AK446">
        <v>22</v>
      </c>
      <c r="AL446" t="s">
        <v>6197</v>
      </c>
      <c r="AM446" t="s">
        <v>967</v>
      </c>
      <c r="AN446" t="s">
        <v>6198</v>
      </c>
      <c r="AO446" t="s">
        <v>6199</v>
      </c>
      <c r="AP446" t="s">
        <v>74</v>
      </c>
      <c r="AQ446" t="s">
        <v>74</v>
      </c>
      <c r="AR446" t="s">
        <v>6201</v>
      </c>
      <c r="AS446" t="s">
        <v>6202</v>
      </c>
      <c r="AT446" t="s">
        <v>6139</v>
      </c>
      <c r="AU446">
        <v>1998</v>
      </c>
      <c r="AV446">
        <v>64</v>
      </c>
      <c r="AW446">
        <v>10</v>
      </c>
      <c r="AX446" t="s">
        <v>74</v>
      </c>
      <c r="AY446" t="s">
        <v>74</v>
      </c>
      <c r="AZ446" t="s">
        <v>74</v>
      </c>
      <c r="BA446" t="s">
        <v>74</v>
      </c>
      <c r="BB446">
        <v>3838</v>
      </c>
      <c r="BC446">
        <v>3845</v>
      </c>
      <c r="BD446" t="s">
        <v>74</v>
      </c>
      <c r="BE446" t="s">
        <v>74</v>
      </c>
      <c r="BF446" t="s">
        <v>74</v>
      </c>
      <c r="BG446" t="s">
        <v>74</v>
      </c>
      <c r="BH446" t="s">
        <v>74</v>
      </c>
      <c r="BI446">
        <v>8</v>
      </c>
      <c r="BJ446" t="s">
        <v>1722</v>
      </c>
      <c r="BK446" t="s">
        <v>95</v>
      </c>
      <c r="BL446" t="s">
        <v>1722</v>
      </c>
      <c r="BM446" t="s">
        <v>6203</v>
      </c>
      <c r="BN446">
        <v>9758808</v>
      </c>
      <c r="BO446" t="s">
        <v>74</v>
      </c>
      <c r="BP446" t="s">
        <v>74</v>
      </c>
      <c r="BQ446" t="s">
        <v>74</v>
      </c>
      <c r="BR446" t="s">
        <v>98</v>
      </c>
      <c r="BS446" t="s">
        <v>6213</v>
      </c>
      <c r="BT446" t="str">
        <f>HYPERLINK("https%3A%2F%2Fwww.webofscience.com%2Fwos%2Fwoscc%2Ffull-record%2FWOS:000076295100043","View Full Record in Web of Science")</f>
        <v>View Full Record in Web of Science</v>
      </c>
    </row>
    <row r="447" spans="1:72" x14ac:dyDescent="0.15">
      <c r="A447" t="s">
        <v>72</v>
      </c>
      <c r="B447" t="s">
        <v>6214</v>
      </c>
      <c r="C447" t="s">
        <v>74</v>
      </c>
      <c r="D447" t="s">
        <v>74</v>
      </c>
      <c r="E447" t="s">
        <v>74</v>
      </c>
      <c r="F447" t="s">
        <v>6214</v>
      </c>
      <c r="G447" t="s">
        <v>74</v>
      </c>
      <c r="H447" t="s">
        <v>74</v>
      </c>
      <c r="I447" t="s">
        <v>6215</v>
      </c>
      <c r="J447" t="s">
        <v>6216</v>
      </c>
      <c r="K447" t="s">
        <v>74</v>
      </c>
      <c r="L447" t="s">
        <v>74</v>
      </c>
      <c r="M447" t="s">
        <v>77</v>
      </c>
      <c r="N447" t="s">
        <v>103</v>
      </c>
      <c r="O447" t="s">
        <v>74</v>
      </c>
      <c r="P447" t="s">
        <v>74</v>
      </c>
      <c r="Q447" t="s">
        <v>74</v>
      </c>
      <c r="R447" t="s">
        <v>74</v>
      </c>
      <c r="S447" t="s">
        <v>74</v>
      </c>
      <c r="T447" t="s">
        <v>74</v>
      </c>
      <c r="U447" t="s">
        <v>6217</v>
      </c>
      <c r="V447" t="s">
        <v>6218</v>
      </c>
      <c r="W447" t="s">
        <v>944</v>
      </c>
      <c r="X447" t="s">
        <v>628</v>
      </c>
      <c r="Y447" t="s">
        <v>6219</v>
      </c>
      <c r="Z447" t="s">
        <v>6220</v>
      </c>
      <c r="AA447" t="s">
        <v>74</v>
      </c>
      <c r="AB447" t="s">
        <v>74</v>
      </c>
      <c r="AC447" t="s">
        <v>74</v>
      </c>
      <c r="AD447" t="s">
        <v>74</v>
      </c>
      <c r="AE447" t="s">
        <v>74</v>
      </c>
      <c r="AF447" t="s">
        <v>74</v>
      </c>
      <c r="AG447">
        <v>37</v>
      </c>
      <c r="AH447">
        <v>43</v>
      </c>
      <c r="AI447">
        <v>43</v>
      </c>
      <c r="AJ447">
        <v>0</v>
      </c>
      <c r="AK447">
        <v>5</v>
      </c>
      <c r="AL447" t="s">
        <v>6221</v>
      </c>
      <c r="AM447" t="s">
        <v>6222</v>
      </c>
      <c r="AN447" t="s">
        <v>6223</v>
      </c>
      <c r="AO447" t="s">
        <v>6224</v>
      </c>
      <c r="AP447" t="s">
        <v>74</v>
      </c>
      <c r="AQ447" t="s">
        <v>74</v>
      </c>
      <c r="AR447" t="s">
        <v>6225</v>
      </c>
      <c r="AS447" t="s">
        <v>6226</v>
      </c>
      <c r="AT447" t="s">
        <v>6139</v>
      </c>
      <c r="AU447">
        <v>1998</v>
      </c>
      <c r="AV447">
        <v>39</v>
      </c>
      <c r="AW447" t="s">
        <v>74</v>
      </c>
      <c r="AX447" t="s">
        <v>74</v>
      </c>
      <c r="AY447" t="s">
        <v>74</v>
      </c>
      <c r="AZ447" t="s">
        <v>74</v>
      </c>
      <c r="BA447" t="s">
        <v>74</v>
      </c>
      <c r="BB447">
        <v>81</v>
      </c>
      <c r="BC447">
        <v>91</v>
      </c>
      <c r="BD447" t="s">
        <v>74</v>
      </c>
      <c r="BE447" t="s">
        <v>74</v>
      </c>
      <c r="BF447" t="s">
        <v>74</v>
      </c>
      <c r="BG447" t="s">
        <v>74</v>
      </c>
      <c r="BH447" t="s">
        <v>74</v>
      </c>
      <c r="BI447">
        <v>11</v>
      </c>
      <c r="BJ447" t="s">
        <v>683</v>
      </c>
      <c r="BK447" t="s">
        <v>95</v>
      </c>
      <c r="BL447" t="s">
        <v>683</v>
      </c>
      <c r="BM447" t="s">
        <v>6227</v>
      </c>
      <c r="BN447" t="s">
        <v>74</v>
      </c>
      <c r="BO447" t="s">
        <v>74</v>
      </c>
      <c r="BP447" t="s">
        <v>74</v>
      </c>
      <c r="BQ447" t="s">
        <v>74</v>
      </c>
      <c r="BR447" t="s">
        <v>98</v>
      </c>
      <c r="BS447" t="s">
        <v>6228</v>
      </c>
      <c r="BT447" t="str">
        <f>HYPERLINK("https%3A%2F%2Fwww.webofscience.com%2Fwos%2Fwoscc%2Ffull-record%2FWOS:000077596200008","View Full Record in Web of Science")</f>
        <v>View Full Record in Web of Science</v>
      </c>
    </row>
    <row r="448" spans="1:72" x14ac:dyDescent="0.15">
      <c r="A448" t="s">
        <v>72</v>
      </c>
      <c r="B448" t="s">
        <v>6229</v>
      </c>
      <c r="C448" t="s">
        <v>74</v>
      </c>
      <c r="D448" t="s">
        <v>74</v>
      </c>
      <c r="E448" t="s">
        <v>74</v>
      </c>
      <c r="F448" t="s">
        <v>6229</v>
      </c>
      <c r="G448" t="s">
        <v>74</v>
      </c>
      <c r="H448" t="s">
        <v>74</v>
      </c>
      <c r="I448" t="s">
        <v>6230</v>
      </c>
      <c r="J448" t="s">
        <v>6216</v>
      </c>
      <c r="K448" t="s">
        <v>74</v>
      </c>
      <c r="L448" t="s">
        <v>74</v>
      </c>
      <c r="M448" t="s">
        <v>77</v>
      </c>
      <c r="N448" t="s">
        <v>103</v>
      </c>
      <c r="O448" t="s">
        <v>74</v>
      </c>
      <c r="P448" t="s">
        <v>74</v>
      </c>
      <c r="Q448" t="s">
        <v>74</v>
      </c>
      <c r="R448" t="s">
        <v>74</v>
      </c>
      <c r="S448" t="s">
        <v>74</v>
      </c>
      <c r="T448" t="s">
        <v>74</v>
      </c>
      <c r="U448" t="s">
        <v>6231</v>
      </c>
      <c r="V448" t="s">
        <v>6232</v>
      </c>
      <c r="W448" t="s">
        <v>6233</v>
      </c>
      <c r="X448" t="s">
        <v>6234</v>
      </c>
      <c r="Y448" t="s">
        <v>6235</v>
      </c>
      <c r="Z448" t="s">
        <v>6236</v>
      </c>
      <c r="AA448" t="s">
        <v>6237</v>
      </c>
      <c r="AB448" t="s">
        <v>74</v>
      </c>
      <c r="AC448" t="s">
        <v>74</v>
      </c>
      <c r="AD448" t="s">
        <v>74</v>
      </c>
      <c r="AE448" t="s">
        <v>74</v>
      </c>
      <c r="AF448" t="s">
        <v>74</v>
      </c>
      <c r="AG448">
        <v>56</v>
      </c>
      <c r="AH448">
        <v>16</v>
      </c>
      <c r="AI448">
        <v>18</v>
      </c>
      <c r="AJ448">
        <v>0</v>
      </c>
      <c r="AK448">
        <v>7</v>
      </c>
      <c r="AL448" t="s">
        <v>6221</v>
      </c>
      <c r="AM448" t="s">
        <v>6222</v>
      </c>
      <c r="AN448" t="s">
        <v>6223</v>
      </c>
      <c r="AO448" t="s">
        <v>6224</v>
      </c>
      <c r="AP448" t="s">
        <v>74</v>
      </c>
      <c r="AQ448" t="s">
        <v>74</v>
      </c>
      <c r="AR448" t="s">
        <v>6225</v>
      </c>
      <c r="AS448" t="s">
        <v>6226</v>
      </c>
      <c r="AT448" t="s">
        <v>6139</v>
      </c>
      <c r="AU448">
        <v>1998</v>
      </c>
      <c r="AV448">
        <v>39</v>
      </c>
      <c r="AW448" t="s">
        <v>74</v>
      </c>
      <c r="AX448" t="s">
        <v>74</v>
      </c>
      <c r="AY448" t="s">
        <v>74</v>
      </c>
      <c r="AZ448" t="s">
        <v>74</v>
      </c>
      <c r="BA448" t="s">
        <v>74</v>
      </c>
      <c r="BB448">
        <v>101</v>
      </c>
      <c r="BC448">
        <v>107</v>
      </c>
      <c r="BD448" t="s">
        <v>74</v>
      </c>
      <c r="BE448" t="s">
        <v>74</v>
      </c>
      <c r="BF448" t="s">
        <v>74</v>
      </c>
      <c r="BG448" t="s">
        <v>74</v>
      </c>
      <c r="BH448" t="s">
        <v>74</v>
      </c>
      <c r="BI448">
        <v>7</v>
      </c>
      <c r="BJ448" t="s">
        <v>683</v>
      </c>
      <c r="BK448" t="s">
        <v>95</v>
      </c>
      <c r="BL448" t="s">
        <v>683</v>
      </c>
      <c r="BM448" t="s">
        <v>6227</v>
      </c>
      <c r="BN448" t="s">
        <v>74</v>
      </c>
      <c r="BO448" t="s">
        <v>74</v>
      </c>
      <c r="BP448" t="s">
        <v>74</v>
      </c>
      <c r="BQ448" t="s">
        <v>74</v>
      </c>
      <c r="BR448" t="s">
        <v>98</v>
      </c>
      <c r="BS448" t="s">
        <v>6238</v>
      </c>
      <c r="BT448" t="str">
        <f>HYPERLINK("https%3A%2F%2Fwww.webofscience.com%2Fwos%2Fwoscc%2Ffull-record%2FWOS:000077596200010","View Full Record in Web of Science")</f>
        <v>View Full Record in Web of Science</v>
      </c>
    </row>
    <row r="449" spans="1:72" x14ac:dyDescent="0.15">
      <c r="A449" t="s">
        <v>72</v>
      </c>
      <c r="B449" t="s">
        <v>6239</v>
      </c>
      <c r="C449" t="s">
        <v>74</v>
      </c>
      <c r="D449" t="s">
        <v>74</v>
      </c>
      <c r="E449" t="s">
        <v>74</v>
      </c>
      <c r="F449" t="s">
        <v>6239</v>
      </c>
      <c r="G449" t="s">
        <v>74</v>
      </c>
      <c r="H449" t="s">
        <v>74</v>
      </c>
      <c r="I449" t="s">
        <v>6240</v>
      </c>
      <c r="J449" t="s">
        <v>6241</v>
      </c>
      <c r="K449" t="s">
        <v>74</v>
      </c>
      <c r="L449" t="s">
        <v>74</v>
      </c>
      <c r="M449" t="s">
        <v>77</v>
      </c>
      <c r="N449" t="s">
        <v>123</v>
      </c>
      <c r="O449" t="s">
        <v>6242</v>
      </c>
      <c r="P449" t="s">
        <v>6243</v>
      </c>
      <c r="Q449" t="s">
        <v>6244</v>
      </c>
      <c r="R449" t="s">
        <v>74</v>
      </c>
      <c r="S449" t="s">
        <v>74</v>
      </c>
      <c r="T449" t="s">
        <v>74</v>
      </c>
      <c r="U449" t="s">
        <v>6245</v>
      </c>
      <c r="V449" t="s">
        <v>6246</v>
      </c>
      <c r="W449" t="s">
        <v>6247</v>
      </c>
      <c r="X449" t="s">
        <v>6248</v>
      </c>
      <c r="Y449" t="s">
        <v>6249</v>
      </c>
      <c r="Z449" t="s">
        <v>74</v>
      </c>
      <c r="AA449" t="s">
        <v>74</v>
      </c>
      <c r="AB449" t="s">
        <v>74</v>
      </c>
      <c r="AC449" t="s">
        <v>74</v>
      </c>
      <c r="AD449" t="s">
        <v>74</v>
      </c>
      <c r="AE449" t="s">
        <v>74</v>
      </c>
      <c r="AF449" t="s">
        <v>74</v>
      </c>
      <c r="AG449">
        <v>32</v>
      </c>
      <c r="AH449">
        <v>23</v>
      </c>
      <c r="AI449">
        <v>23</v>
      </c>
      <c r="AJ449">
        <v>0</v>
      </c>
      <c r="AK449">
        <v>6</v>
      </c>
      <c r="AL449" t="s">
        <v>445</v>
      </c>
      <c r="AM449" t="s">
        <v>229</v>
      </c>
      <c r="AN449" t="s">
        <v>446</v>
      </c>
      <c r="AO449" t="s">
        <v>6250</v>
      </c>
      <c r="AP449" t="s">
        <v>74</v>
      </c>
      <c r="AQ449" t="s">
        <v>74</v>
      </c>
      <c r="AR449" t="s">
        <v>6241</v>
      </c>
      <c r="AS449" t="s">
        <v>6251</v>
      </c>
      <c r="AT449" t="s">
        <v>6252</v>
      </c>
      <c r="AU449">
        <v>1998</v>
      </c>
      <c r="AV449">
        <v>37</v>
      </c>
      <c r="AW449" t="s">
        <v>6253</v>
      </c>
      <c r="AX449" t="s">
        <v>74</v>
      </c>
      <c r="AY449" t="s">
        <v>74</v>
      </c>
      <c r="AZ449" t="s">
        <v>74</v>
      </c>
      <c r="BA449" t="s">
        <v>74</v>
      </c>
      <c r="BB449">
        <v>2501</v>
      </c>
      <c r="BC449">
        <v>2512</v>
      </c>
      <c r="BD449" t="s">
        <v>74</v>
      </c>
      <c r="BE449" t="s">
        <v>6254</v>
      </c>
      <c r="BF449" t="str">
        <f>HYPERLINK("http://dx.doi.org/10.1016/S0045-6535(98)00305-1","http://dx.doi.org/10.1016/S0045-6535(98)00305-1")</f>
        <v>http://dx.doi.org/10.1016/S0045-6535(98)00305-1</v>
      </c>
      <c r="BG449" t="s">
        <v>74</v>
      </c>
      <c r="BH449" t="s">
        <v>74</v>
      </c>
      <c r="BI449">
        <v>12</v>
      </c>
      <c r="BJ449" t="s">
        <v>6255</v>
      </c>
      <c r="BK449" t="s">
        <v>235</v>
      </c>
      <c r="BL449" t="s">
        <v>661</v>
      </c>
      <c r="BM449" t="s">
        <v>6256</v>
      </c>
      <c r="BN449">
        <v>9828350</v>
      </c>
      <c r="BO449" t="s">
        <v>74</v>
      </c>
      <c r="BP449" t="s">
        <v>74</v>
      </c>
      <c r="BQ449" t="s">
        <v>74</v>
      </c>
      <c r="BR449" t="s">
        <v>98</v>
      </c>
      <c r="BS449" t="s">
        <v>6257</v>
      </c>
      <c r="BT449" t="str">
        <f>HYPERLINK("https%3A%2F%2Fwww.webofscience.com%2Fwos%2Fwoscc%2Ffull-record%2FWOS:000076618700075","View Full Record in Web of Science")</f>
        <v>View Full Record in Web of Science</v>
      </c>
    </row>
    <row r="450" spans="1:72" x14ac:dyDescent="0.15">
      <c r="A450" t="s">
        <v>72</v>
      </c>
      <c r="B450" t="s">
        <v>6258</v>
      </c>
      <c r="C450" t="s">
        <v>74</v>
      </c>
      <c r="D450" t="s">
        <v>74</v>
      </c>
      <c r="E450" t="s">
        <v>74</v>
      </c>
      <c r="F450" t="s">
        <v>6258</v>
      </c>
      <c r="G450" t="s">
        <v>74</v>
      </c>
      <c r="H450" t="s">
        <v>74</v>
      </c>
      <c r="I450" t="s">
        <v>6259</v>
      </c>
      <c r="J450" t="s">
        <v>6260</v>
      </c>
      <c r="K450" t="s">
        <v>74</v>
      </c>
      <c r="L450" t="s">
        <v>74</v>
      </c>
      <c r="M450" t="s">
        <v>77</v>
      </c>
      <c r="N450" t="s">
        <v>103</v>
      </c>
      <c r="O450" t="s">
        <v>74</v>
      </c>
      <c r="P450" t="s">
        <v>74</v>
      </c>
      <c r="Q450" t="s">
        <v>74</v>
      </c>
      <c r="R450" t="s">
        <v>74</v>
      </c>
      <c r="S450" t="s">
        <v>74</v>
      </c>
      <c r="T450" t="s">
        <v>6261</v>
      </c>
      <c r="U450" t="s">
        <v>6262</v>
      </c>
      <c r="V450" t="s">
        <v>6263</v>
      </c>
      <c r="W450" t="s">
        <v>6264</v>
      </c>
      <c r="X450" t="s">
        <v>6265</v>
      </c>
      <c r="Y450" t="s">
        <v>6266</v>
      </c>
      <c r="Z450" t="s">
        <v>6267</v>
      </c>
      <c r="AA450" t="s">
        <v>74</v>
      </c>
      <c r="AB450" t="s">
        <v>6268</v>
      </c>
      <c r="AC450" t="s">
        <v>74</v>
      </c>
      <c r="AD450" t="s">
        <v>74</v>
      </c>
      <c r="AE450" t="s">
        <v>74</v>
      </c>
      <c r="AF450" t="s">
        <v>74</v>
      </c>
      <c r="AG450">
        <v>33</v>
      </c>
      <c r="AH450">
        <v>9</v>
      </c>
      <c r="AI450">
        <v>9</v>
      </c>
      <c r="AJ450">
        <v>0</v>
      </c>
      <c r="AK450">
        <v>5</v>
      </c>
      <c r="AL450" t="s">
        <v>6269</v>
      </c>
      <c r="AM450" t="s">
        <v>278</v>
      </c>
      <c r="AN450" t="s">
        <v>6270</v>
      </c>
      <c r="AO450" t="s">
        <v>6271</v>
      </c>
      <c r="AP450" t="s">
        <v>74</v>
      </c>
      <c r="AQ450" t="s">
        <v>74</v>
      </c>
      <c r="AR450" t="s">
        <v>6272</v>
      </c>
      <c r="AS450" t="s">
        <v>6273</v>
      </c>
      <c r="AT450" t="s">
        <v>6139</v>
      </c>
      <c r="AU450">
        <v>1998</v>
      </c>
      <c r="AV450">
        <v>121</v>
      </c>
      <c r="AW450">
        <v>2</v>
      </c>
      <c r="AX450" t="s">
        <v>74</v>
      </c>
      <c r="AY450" t="s">
        <v>74</v>
      </c>
      <c r="AZ450" t="s">
        <v>74</v>
      </c>
      <c r="BA450" t="s">
        <v>74</v>
      </c>
      <c r="BB450">
        <v>189</v>
      </c>
      <c r="BC450">
        <v>195</v>
      </c>
      <c r="BD450" t="s">
        <v>74</v>
      </c>
      <c r="BE450" t="s">
        <v>6274</v>
      </c>
      <c r="BF450" t="str">
        <f>HYPERLINK("http://dx.doi.org/10.1016/S1095-6433(98)10121-6","http://dx.doi.org/10.1016/S1095-6433(98)10121-6")</f>
        <v>http://dx.doi.org/10.1016/S1095-6433(98)10121-6</v>
      </c>
      <c r="BG450" t="s">
        <v>74</v>
      </c>
      <c r="BH450" t="s">
        <v>74</v>
      </c>
      <c r="BI450">
        <v>7</v>
      </c>
      <c r="BJ450" t="s">
        <v>6275</v>
      </c>
      <c r="BK450" t="s">
        <v>95</v>
      </c>
      <c r="BL450" t="s">
        <v>6275</v>
      </c>
      <c r="BM450" t="s">
        <v>6276</v>
      </c>
      <c r="BN450" t="s">
        <v>74</v>
      </c>
      <c r="BO450" t="s">
        <v>74</v>
      </c>
      <c r="BP450" t="s">
        <v>74</v>
      </c>
      <c r="BQ450" t="s">
        <v>74</v>
      </c>
      <c r="BR450" t="s">
        <v>98</v>
      </c>
      <c r="BS450" t="s">
        <v>6277</v>
      </c>
      <c r="BT450" t="str">
        <f>HYPERLINK("https%3A%2F%2Fwww.webofscience.com%2Fwos%2Fwoscc%2Ffull-record%2FWOS:000077246200012","View Full Record in Web of Science")</f>
        <v>View Full Record in Web of Science</v>
      </c>
    </row>
    <row r="451" spans="1:72" x14ac:dyDescent="0.15">
      <c r="A451" t="s">
        <v>72</v>
      </c>
      <c r="B451" t="s">
        <v>6278</v>
      </c>
      <c r="C451" t="s">
        <v>74</v>
      </c>
      <c r="D451" t="s">
        <v>74</v>
      </c>
      <c r="E451" t="s">
        <v>74</v>
      </c>
      <c r="F451" t="s">
        <v>6278</v>
      </c>
      <c r="G451" t="s">
        <v>74</v>
      </c>
      <c r="H451" t="s">
        <v>74</v>
      </c>
      <c r="I451" t="s">
        <v>6279</v>
      </c>
      <c r="J451" t="s">
        <v>6280</v>
      </c>
      <c r="K451" t="s">
        <v>74</v>
      </c>
      <c r="L451" t="s">
        <v>74</v>
      </c>
      <c r="M451" t="s">
        <v>77</v>
      </c>
      <c r="N451" t="s">
        <v>103</v>
      </c>
      <c r="O451" t="s">
        <v>74</v>
      </c>
      <c r="P451" t="s">
        <v>74</v>
      </c>
      <c r="Q451" t="s">
        <v>74</v>
      </c>
      <c r="R451" t="s">
        <v>74</v>
      </c>
      <c r="S451" t="s">
        <v>74</v>
      </c>
      <c r="T451" t="s">
        <v>74</v>
      </c>
      <c r="U451" t="s">
        <v>6281</v>
      </c>
      <c r="V451" t="s">
        <v>6282</v>
      </c>
      <c r="W451" t="s">
        <v>6283</v>
      </c>
      <c r="X451" t="s">
        <v>6284</v>
      </c>
      <c r="Y451" t="s">
        <v>6285</v>
      </c>
      <c r="Z451" t="s">
        <v>6286</v>
      </c>
      <c r="AA451" t="s">
        <v>6287</v>
      </c>
      <c r="AB451" t="s">
        <v>6288</v>
      </c>
      <c r="AC451" t="s">
        <v>74</v>
      </c>
      <c r="AD451" t="s">
        <v>74</v>
      </c>
      <c r="AE451" t="s">
        <v>74</v>
      </c>
      <c r="AF451" t="s">
        <v>74</v>
      </c>
      <c r="AG451">
        <v>44</v>
      </c>
      <c r="AH451">
        <v>35</v>
      </c>
      <c r="AI451">
        <v>37</v>
      </c>
      <c r="AJ451">
        <v>1</v>
      </c>
      <c r="AK451">
        <v>13</v>
      </c>
      <c r="AL451" t="s">
        <v>445</v>
      </c>
      <c r="AM451" t="s">
        <v>229</v>
      </c>
      <c r="AN451" t="s">
        <v>446</v>
      </c>
      <c r="AO451" t="s">
        <v>6289</v>
      </c>
      <c r="AP451" t="s">
        <v>6290</v>
      </c>
      <c r="AQ451" t="s">
        <v>74</v>
      </c>
      <c r="AR451" t="s">
        <v>6291</v>
      </c>
      <c r="AS451" t="s">
        <v>6292</v>
      </c>
      <c r="AT451" t="s">
        <v>6139</v>
      </c>
      <c r="AU451">
        <v>1998</v>
      </c>
      <c r="AV451">
        <v>45</v>
      </c>
      <c r="AW451">
        <v>10</v>
      </c>
      <c r="AX451" t="s">
        <v>74</v>
      </c>
      <c r="AY451" t="s">
        <v>74</v>
      </c>
      <c r="AZ451" t="s">
        <v>74</v>
      </c>
      <c r="BA451" t="s">
        <v>74</v>
      </c>
      <c r="BB451">
        <v>1663</v>
      </c>
      <c r="BC451">
        <v>1687</v>
      </c>
      <c r="BD451" t="s">
        <v>74</v>
      </c>
      <c r="BE451" t="s">
        <v>6293</v>
      </c>
      <c r="BF451" t="str">
        <f>HYPERLINK("http://dx.doi.org/10.1016/S0967-0637(98)00037-5","http://dx.doi.org/10.1016/S0967-0637(98)00037-5")</f>
        <v>http://dx.doi.org/10.1016/S0967-0637(98)00037-5</v>
      </c>
      <c r="BG451" t="s">
        <v>74</v>
      </c>
      <c r="BH451" t="s">
        <v>74</v>
      </c>
      <c r="BI451">
        <v>25</v>
      </c>
      <c r="BJ451" t="s">
        <v>451</v>
      </c>
      <c r="BK451" t="s">
        <v>95</v>
      </c>
      <c r="BL451" t="s">
        <v>451</v>
      </c>
      <c r="BM451" t="s">
        <v>6294</v>
      </c>
      <c r="BN451" t="s">
        <v>74</v>
      </c>
      <c r="BO451" t="s">
        <v>74</v>
      </c>
      <c r="BP451" t="s">
        <v>74</v>
      </c>
      <c r="BQ451" t="s">
        <v>74</v>
      </c>
      <c r="BR451" t="s">
        <v>98</v>
      </c>
      <c r="BS451" t="s">
        <v>6295</v>
      </c>
      <c r="BT451" t="str">
        <f>HYPERLINK("https%3A%2F%2Fwww.webofscience.com%2Fwos%2Fwoscc%2Ffull-record%2FWOS:000077567700006","View Full Record in Web of Science")</f>
        <v>View Full Record in Web of Science</v>
      </c>
    </row>
    <row r="452" spans="1:72" x14ac:dyDescent="0.15">
      <c r="A452" t="s">
        <v>72</v>
      </c>
      <c r="B452" t="s">
        <v>6296</v>
      </c>
      <c r="C452" t="s">
        <v>74</v>
      </c>
      <c r="D452" t="s">
        <v>74</v>
      </c>
      <c r="E452" t="s">
        <v>74</v>
      </c>
      <c r="F452" t="s">
        <v>6296</v>
      </c>
      <c r="G452" t="s">
        <v>74</v>
      </c>
      <c r="H452" t="s">
        <v>74</v>
      </c>
      <c r="I452" t="s">
        <v>6297</v>
      </c>
      <c r="J452" t="s">
        <v>6280</v>
      </c>
      <c r="K452" t="s">
        <v>74</v>
      </c>
      <c r="L452" t="s">
        <v>74</v>
      </c>
      <c r="M452" t="s">
        <v>77</v>
      </c>
      <c r="N452" t="s">
        <v>103</v>
      </c>
      <c r="O452" t="s">
        <v>74</v>
      </c>
      <c r="P452" t="s">
        <v>74</v>
      </c>
      <c r="Q452" t="s">
        <v>74</v>
      </c>
      <c r="R452" t="s">
        <v>74</v>
      </c>
      <c r="S452" t="s">
        <v>74</v>
      </c>
      <c r="T452" t="s">
        <v>74</v>
      </c>
      <c r="U452" t="s">
        <v>6298</v>
      </c>
      <c r="V452" t="s">
        <v>6299</v>
      </c>
      <c r="W452" t="s">
        <v>6300</v>
      </c>
      <c r="X452" t="s">
        <v>6301</v>
      </c>
      <c r="Y452" t="s">
        <v>6302</v>
      </c>
      <c r="Z452" t="s">
        <v>6303</v>
      </c>
      <c r="AA452" t="s">
        <v>74</v>
      </c>
      <c r="AB452" t="s">
        <v>6304</v>
      </c>
      <c r="AC452" t="s">
        <v>74</v>
      </c>
      <c r="AD452" t="s">
        <v>74</v>
      </c>
      <c r="AE452" t="s">
        <v>74</v>
      </c>
      <c r="AF452" t="s">
        <v>74</v>
      </c>
      <c r="AG452">
        <v>54</v>
      </c>
      <c r="AH452">
        <v>41</v>
      </c>
      <c r="AI452">
        <v>43</v>
      </c>
      <c r="AJ452">
        <v>0</v>
      </c>
      <c r="AK452">
        <v>14</v>
      </c>
      <c r="AL452" t="s">
        <v>445</v>
      </c>
      <c r="AM452" t="s">
        <v>229</v>
      </c>
      <c r="AN452" t="s">
        <v>446</v>
      </c>
      <c r="AO452" t="s">
        <v>6289</v>
      </c>
      <c r="AP452" t="s">
        <v>6290</v>
      </c>
      <c r="AQ452" t="s">
        <v>74</v>
      </c>
      <c r="AR452" t="s">
        <v>6291</v>
      </c>
      <c r="AS452" t="s">
        <v>6292</v>
      </c>
      <c r="AT452" t="s">
        <v>6139</v>
      </c>
      <c r="AU452">
        <v>1998</v>
      </c>
      <c r="AV452">
        <v>45</v>
      </c>
      <c r="AW452">
        <v>10</v>
      </c>
      <c r="AX452" t="s">
        <v>74</v>
      </c>
      <c r="AY452" t="s">
        <v>74</v>
      </c>
      <c r="AZ452" t="s">
        <v>74</v>
      </c>
      <c r="BA452" t="s">
        <v>74</v>
      </c>
      <c r="BB452">
        <v>1709</v>
      </c>
      <c r="BC452">
        <v>1737</v>
      </c>
      <c r="BD452" t="s">
        <v>74</v>
      </c>
      <c r="BE452" t="s">
        <v>6305</v>
      </c>
      <c r="BF452" t="str">
        <f>HYPERLINK("http://dx.doi.org/10.1016/S0967-0637(98)00039-9","http://dx.doi.org/10.1016/S0967-0637(98)00039-9")</f>
        <v>http://dx.doi.org/10.1016/S0967-0637(98)00039-9</v>
      </c>
      <c r="BG452" t="s">
        <v>74</v>
      </c>
      <c r="BH452" t="s">
        <v>74</v>
      </c>
      <c r="BI452">
        <v>29</v>
      </c>
      <c r="BJ452" t="s">
        <v>451</v>
      </c>
      <c r="BK452" t="s">
        <v>95</v>
      </c>
      <c r="BL452" t="s">
        <v>451</v>
      </c>
      <c r="BM452" t="s">
        <v>6294</v>
      </c>
      <c r="BN452" t="s">
        <v>74</v>
      </c>
      <c r="BO452" t="s">
        <v>74</v>
      </c>
      <c r="BP452" t="s">
        <v>74</v>
      </c>
      <c r="BQ452" t="s">
        <v>74</v>
      </c>
      <c r="BR452" t="s">
        <v>98</v>
      </c>
      <c r="BS452" t="s">
        <v>6306</v>
      </c>
      <c r="BT452" t="str">
        <f>HYPERLINK("https%3A%2F%2Fwww.webofscience.com%2Fwos%2Fwoscc%2Ffull-record%2FWOS:000077567700008","View Full Record in Web of Science")</f>
        <v>View Full Record in Web of Science</v>
      </c>
    </row>
    <row r="453" spans="1:72" x14ac:dyDescent="0.15">
      <c r="A453" t="s">
        <v>72</v>
      </c>
      <c r="B453" t="s">
        <v>6307</v>
      </c>
      <c r="C453" t="s">
        <v>74</v>
      </c>
      <c r="D453" t="s">
        <v>74</v>
      </c>
      <c r="E453" t="s">
        <v>74</v>
      </c>
      <c r="F453" t="s">
        <v>6307</v>
      </c>
      <c r="G453" t="s">
        <v>74</v>
      </c>
      <c r="H453" t="s">
        <v>74</v>
      </c>
      <c r="I453" t="s">
        <v>6308</v>
      </c>
      <c r="J453" t="s">
        <v>6309</v>
      </c>
      <c r="K453" t="s">
        <v>74</v>
      </c>
      <c r="L453" t="s">
        <v>74</v>
      </c>
      <c r="M453" t="s">
        <v>77</v>
      </c>
      <c r="N453" t="s">
        <v>78</v>
      </c>
      <c r="O453" t="s">
        <v>74</v>
      </c>
      <c r="P453" t="s">
        <v>74</v>
      </c>
      <c r="Q453" t="s">
        <v>74</v>
      </c>
      <c r="R453" t="s">
        <v>74</v>
      </c>
      <c r="S453" t="s">
        <v>74</v>
      </c>
      <c r="T453" t="s">
        <v>6310</v>
      </c>
      <c r="U453" t="s">
        <v>6311</v>
      </c>
      <c r="V453" t="s">
        <v>6312</v>
      </c>
      <c r="W453" t="s">
        <v>6313</v>
      </c>
      <c r="X453" t="s">
        <v>6314</v>
      </c>
      <c r="Y453" t="s">
        <v>6315</v>
      </c>
      <c r="Z453" t="s">
        <v>6316</v>
      </c>
      <c r="AA453" t="s">
        <v>6317</v>
      </c>
      <c r="AB453" t="s">
        <v>6318</v>
      </c>
      <c r="AC453" t="s">
        <v>74</v>
      </c>
      <c r="AD453" t="s">
        <v>74</v>
      </c>
      <c r="AE453" t="s">
        <v>74</v>
      </c>
      <c r="AF453" t="s">
        <v>74</v>
      </c>
      <c r="AG453">
        <v>50</v>
      </c>
      <c r="AH453">
        <v>95</v>
      </c>
      <c r="AI453">
        <v>117</v>
      </c>
      <c r="AJ453">
        <v>6</v>
      </c>
      <c r="AK453">
        <v>51</v>
      </c>
      <c r="AL453" t="s">
        <v>4439</v>
      </c>
      <c r="AM453" t="s">
        <v>229</v>
      </c>
      <c r="AN453" t="s">
        <v>4440</v>
      </c>
      <c r="AO453" t="s">
        <v>6319</v>
      </c>
      <c r="AP453" t="s">
        <v>6320</v>
      </c>
      <c r="AQ453" t="s">
        <v>74</v>
      </c>
      <c r="AR453" t="s">
        <v>6321</v>
      </c>
      <c r="AS453" t="s">
        <v>6322</v>
      </c>
      <c r="AT453" t="s">
        <v>6139</v>
      </c>
      <c r="AU453">
        <v>1998</v>
      </c>
      <c r="AV453">
        <v>27</v>
      </c>
      <c r="AW453">
        <v>2</v>
      </c>
      <c r="AX453" t="s">
        <v>74</v>
      </c>
      <c r="AY453" t="s">
        <v>74</v>
      </c>
      <c r="AZ453" t="s">
        <v>74</v>
      </c>
      <c r="BA453" t="s">
        <v>74</v>
      </c>
      <c r="BB453">
        <v>103</v>
      </c>
      <c r="BC453">
        <v>114</v>
      </c>
      <c r="BD453" t="s">
        <v>74</v>
      </c>
      <c r="BE453" t="s">
        <v>74</v>
      </c>
      <c r="BF453" t="s">
        <v>74</v>
      </c>
      <c r="BG453" t="s">
        <v>74</v>
      </c>
      <c r="BH453" t="s">
        <v>74</v>
      </c>
      <c r="BI453">
        <v>12</v>
      </c>
      <c r="BJ453" t="s">
        <v>5766</v>
      </c>
      <c r="BK453" t="s">
        <v>95</v>
      </c>
      <c r="BL453" t="s">
        <v>5766</v>
      </c>
      <c r="BM453" t="s">
        <v>6323</v>
      </c>
      <c r="BN453" t="s">
        <v>74</v>
      </c>
      <c r="BO453" t="s">
        <v>1089</v>
      </c>
      <c r="BP453" t="s">
        <v>74</v>
      </c>
      <c r="BQ453" t="s">
        <v>74</v>
      </c>
      <c r="BR453" t="s">
        <v>98</v>
      </c>
      <c r="BS453" t="s">
        <v>6324</v>
      </c>
      <c r="BT453" t="str">
        <f>HYPERLINK("https%3A%2F%2Fwww.webofscience.com%2Fwos%2Fwoscc%2Ffull-record%2FWOS:000076436700001","View Full Record in Web of Science")</f>
        <v>View Full Record in Web of Science</v>
      </c>
    </row>
    <row r="454" spans="1:72" x14ac:dyDescent="0.15">
      <c r="A454" t="s">
        <v>72</v>
      </c>
      <c r="B454" t="s">
        <v>6325</v>
      </c>
      <c r="C454" t="s">
        <v>74</v>
      </c>
      <c r="D454" t="s">
        <v>74</v>
      </c>
      <c r="E454" t="s">
        <v>74</v>
      </c>
      <c r="F454" t="s">
        <v>6325</v>
      </c>
      <c r="G454" t="s">
        <v>74</v>
      </c>
      <c r="H454" t="s">
        <v>74</v>
      </c>
      <c r="I454" t="s">
        <v>6326</v>
      </c>
      <c r="J454" t="s">
        <v>6327</v>
      </c>
      <c r="K454" t="s">
        <v>74</v>
      </c>
      <c r="L454" t="s">
        <v>74</v>
      </c>
      <c r="M454" t="s">
        <v>77</v>
      </c>
      <c r="N454" t="s">
        <v>103</v>
      </c>
      <c r="O454" t="s">
        <v>74</v>
      </c>
      <c r="P454" t="s">
        <v>74</v>
      </c>
      <c r="Q454" t="s">
        <v>74</v>
      </c>
      <c r="R454" t="s">
        <v>74</v>
      </c>
      <c r="S454" t="s">
        <v>74</v>
      </c>
      <c r="T454" t="s">
        <v>6328</v>
      </c>
      <c r="U454" t="s">
        <v>6329</v>
      </c>
      <c r="V454" t="s">
        <v>6330</v>
      </c>
      <c r="W454" t="s">
        <v>6331</v>
      </c>
      <c r="X454" t="s">
        <v>6332</v>
      </c>
      <c r="Y454" t="s">
        <v>6333</v>
      </c>
      <c r="Z454" t="s">
        <v>74</v>
      </c>
      <c r="AA454" t="s">
        <v>74</v>
      </c>
      <c r="AB454" t="s">
        <v>74</v>
      </c>
      <c r="AC454" t="s">
        <v>74</v>
      </c>
      <c r="AD454" t="s">
        <v>74</v>
      </c>
      <c r="AE454" t="s">
        <v>74</v>
      </c>
      <c r="AF454" t="s">
        <v>74</v>
      </c>
      <c r="AG454">
        <v>39</v>
      </c>
      <c r="AH454">
        <v>7</v>
      </c>
      <c r="AI454">
        <v>8</v>
      </c>
      <c r="AJ454">
        <v>0</v>
      </c>
      <c r="AK454">
        <v>4</v>
      </c>
      <c r="AL454" t="s">
        <v>1368</v>
      </c>
      <c r="AM454" t="s">
        <v>866</v>
      </c>
      <c r="AN454" t="s">
        <v>1369</v>
      </c>
      <c r="AO454" t="s">
        <v>6334</v>
      </c>
      <c r="AP454" t="s">
        <v>74</v>
      </c>
      <c r="AQ454" t="s">
        <v>74</v>
      </c>
      <c r="AR454" t="s">
        <v>6335</v>
      </c>
      <c r="AS454" t="s">
        <v>6336</v>
      </c>
      <c r="AT454" t="s">
        <v>6139</v>
      </c>
      <c r="AU454">
        <v>1998</v>
      </c>
      <c r="AV454">
        <v>19</v>
      </c>
      <c r="AW454">
        <v>3</v>
      </c>
      <c r="AX454" t="s">
        <v>74</v>
      </c>
      <c r="AY454" t="s">
        <v>74</v>
      </c>
      <c r="AZ454" t="s">
        <v>74</v>
      </c>
      <c r="BA454" t="s">
        <v>74</v>
      </c>
      <c r="BB454">
        <v>211</v>
      </c>
      <c r="BC454">
        <v>216</v>
      </c>
      <c r="BD454" t="s">
        <v>74</v>
      </c>
      <c r="BE454" t="s">
        <v>6337</v>
      </c>
      <c r="BF454" t="str">
        <f>HYPERLINK("http://dx.doi.org/10.1023/A:1007706831689","http://dx.doi.org/10.1023/A:1007706831689")</f>
        <v>http://dx.doi.org/10.1023/A:1007706831689</v>
      </c>
      <c r="BG454" t="s">
        <v>74</v>
      </c>
      <c r="BH454" t="s">
        <v>74</v>
      </c>
      <c r="BI454">
        <v>6</v>
      </c>
      <c r="BJ454" t="s">
        <v>6338</v>
      </c>
      <c r="BK454" t="s">
        <v>95</v>
      </c>
      <c r="BL454" t="s">
        <v>6338</v>
      </c>
      <c r="BM454" t="s">
        <v>6339</v>
      </c>
      <c r="BN454" t="s">
        <v>74</v>
      </c>
      <c r="BO454" t="s">
        <v>74</v>
      </c>
      <c r="BP454" t="s">
        <v>74</v>
      </c>
      <c r="BQ454" t="s">
        <v>74</v>
      </c>
      <c r="BR454" t="s">
        <v>98</v>
      </c>
      <c r="BS454" t="s">
        <v>6340</v>
      </c>
      <c r="BT454" t="str">
        <f>HYPERLINK("https%3A%2F%2Fwww.webofscience.com%2Fwos%2Fwoscc%2Ffull-record%2FWOS:000077312900003","View Full Record in Web of Science")</f>
        <v>View Full Record in Web of Science</v>
      </c>
    </row>
    <row r="455" spans="1:72" x14ac:dyDescent="0.15">
      <c r="A455" t="s">
        <v>72</v>
      </c>
      <c r="B455" t="s">
        <v>6341</v>
      </c>
      <c r="C455" t="s">
        <v>74</v>
      </c>
      <c r="D455" t="s">
        <v>74</v>
      </c>
      <c r="E455" t="s">
        <v>74</v>
      </c>
      <c r="F455" t="s">
        <v>6341</v>
      </c>
      <c r="G455" t="s">
        <v>74</v>
      </c>
      <c r="H455" t="s">
        <v>74</v>
      </c>
      <c r="I455" t="s">
        <v>6342</v>
      </c>
      <c r="J455" t="s">
        <v>6343</v>
      </c>
      <c r="K455" t="s">
        <v>74</v>
      </c>
      <c r="L455" t="s">
        <v>74</v>
      </c>
      <c r="M455" t="s">
        <v>77</v>
      </c>
      <c r="N455" t="s">
        <v>103</v>
      </c>
      <c r="O455" t="s">
        <v>74</v>
      </c>
      <c r="P455" t="s">
        <v>74</v>
      </c>
      <c r="Q455" t="s">
        <v>74</v>
      </c>
      <c r="R455" t="s">
        <v>74</v>
      </c>
      <c r="S455" t="s">
        <v>74</v>
      </c>
      <c r="T455" t="s">
        <v>74</v>
      </c>
      <c r="U455" t="s">
        <v>6344</v>
      </c>
      <c r="V455" t="s">
        <v>6345</v>
      </c>
      <c r="W455" t="s">
        <v>6346</v>
      </c>
      <c r="X455" t="s">
        <v>6347</v>
      </c>
      <c r="Y455" t="s">
        <v>6348</v>
      </c>
      <c r="Z455" t="s">
        <v>74</v>
      </c>
      <c r="AA455" t="s">
        <v>6237</v>
      </c>
      <c r="AB455" t="s">
        <v>74</v>
      </c>
      <c r="AC455" t="s">
        <v>74</v>
      </c>
      <c r="AD455" t="s">
        <v>74</v>
      </c>
      <c r="AE455" t="s">
        <v>74</v>
      </c>
      <c r="AF455" t="s">
        <v>74</v>
      </c>
      <c r="AG455">
        <v>42</v>
      </c>
      <c r="AH455">
        <v>10</v>
      </c>
      <c r="AI455">
        <v>15</v>
      </c>
      <c r="AJ455">
        <v>0</v>
      </c>
      <c r="AK455">
        <v>2</v>
      </c>
      <c r="AL455" t="s">
        <v>6349</v>
      </c>
      <c r="AM455" t="s">
        <v>6350</v>
      </c>
      <c r="AN455" t="s">
        <v>6351</v>
      </c>
      <c r="AO455" t="s">
        <v>6352</v>
      </c>
      <c r="AP455" t="s">
        <v>74</v>
      </c>
      <c r="AQ455" t="s">
        <v>74</v>
      </c>
      <c r="AR455" t="s">
        <v>6353</v>
      </c>
      <c r="AS455" t="s">
        <v>6354</v>
      </c>
      <c r="AT455" t="s">
        <v>6139</v>
      </c>
      <c r="AU455">
        <v>1998</v>
      </c>
      <c r="AV455">
        <v>96</v>
      </c>
      <c r="AW455">
        <v>4</v>
      </c>
      <c r="AX455" t="s">
        <v>74</v>
      </c>
      <c r="AY455" t="s">
        <v>74</v>
      </c>
      <c r="AZ455" t="s">
        <v>74</v>
      </c>
      <c r="BA455" t="s">
        <v>74</v>
      </c>
      <c r="BB455">
        <v>779</v>
      </c>
      <c r="BC455">
        <v>787</v>
      </c>
      <c r="BD455" t="s">
        <v>74</v>
      </c>
      <c r="BE455" t="s">
        <v>74</v>
      </c>
      <c r="BF455" t="s">
        <v>74</v>
      </c>
      <c r="BG455" t="s">
        <v>74</v>
      </c>
      <c r="BH455" t="s">
        <v>74</v>
      </c>
      <c r="BI455">
        <v>9</v>
      </c>
      <c r="BJ455" t="s">
        <v>683</v>
      </c>
      <c r="BK455" t="s">
        <v>95</v>
      </c>
      <c r="BL455" t="s">
        <v>683</v>
      </c>
      <c r="BM455" t="s">
        <v>6355</v>
      </c>
      <c r="BN455" t="s">
        <v>74</v>
      </c>
      <c r="BO455" t="s">
        <v>74</v>
      </c>
      <c r="BP455" t="s">
        <v>74</v>
      </c>
      <c r="BQ455" t="s">
        <v>74</v>
      </c>
      <c r="BR455" t="s">
        <v>98</v>
      </c>
      <c r="BS455" t="s">
        <v>6356</v>
      </c>
      <c r="BT455" t="str">
        <f>HYPERLINK("https%3A%2F%2Fwww.webofscience.com%2Fwos%2Fwoscc%2Ffull-record%2FWOS:000076593400008","View Full Record in Web of Science")</f>
        <v>View Full Record in Web of Science</v>
      </c>
    </row>
    <row r="456" spans="1:72" x14ac:dyDescent="0.15">
      <c r="A456" t="s">
        <v>72</v>
      </c>
      <c r="B456" t="s">
        <v>6357</v>
      </c>
      <c r="C456" t="s">
        <v>74</v>
      </c>
      <c r="D456" t="s">
        <v>74</v>
      </c>
      <c r="E456" t="s">
        <v>74</v>
      </c>
      <c r="F456" t="s">
        <v>6357</v>
      </c>
      <c r="G456" t="s">
        <v>74</v>
      </c>
      <c r="H456" t="s">
        <v>74</v>
      </c>
      <c r="I456" t="s">
        <v>6358</v>
      </c>
      <c r="J456" t="s">
        <v>5218</v>
      </c>
      <c r="K456" t="s">
        <v>74</v>
      </c>
      <c r="L456" t="s">
        <v>74</v>
      </c>
      <c r="M456" t="s">
        <v>77</v>
      </c>
      <c r="N456" t="s">
        <v>103</v>
      </c>
      <c r="O456" t="s">
        <v>74</v>
      </c>
      <c r="P456" t="s">
        <v>74</v>
      </c>
      <c r="Q456" t="s">
        <v>74</v>
      </c>
      <c r="R456" t="s">
        <v>74</v>
      </c>
      <c r="S456" t="s">
        <v>74</v>
      </c>
      <c r="T456" t="s">
        <v>74</v>
      </c>
      <c r="U456" t="s">
        <v>6359</v>
      </c>
      <c r="V456" t="s">
        <v>6360</v>
      </c>
      <c r="W456" t="s">
        <v>6361</v>
      </c>
      <c r="X456" t="s">
        <v>6362</v>
      </c>
      <c r="Y456" t="s">
        <v>6363</v>
      </c>
      <c r="Z456" t="s">
        <v>74</v>
      </c>
      <c r="AA456" t="s">
        <v>6364</v>
      </c>
      <c r="AB456" t="s">
        <v>74</v>
      </c>
      <c r="AC456" t="s">
        <v>74</v>
      </c>
      <c r="AD456" t="s">
        <v>74</v>
      </c>
      <c r="AE456" t="s">
        <v>74</v>
      </c>
      <c r="AF456" t="s">
        <v>74</v>
      </c>
      <c r="AG456">
        <v>25</v>
      </c>
      <c r="AH456">
        <v>70</v>
      </c>
      <c r="AI456">
        <v>73</v>
      </c>
      <c r="AJ456">
        <v>0</v>
      </c>
      <c r="AK456">
        <v>7</v>
      </c>
      <c r="AL456" t="s">
        <v>5221</v>
      </c>
      <c r="AM456" t="s">
        <v>5222</v>
      </c>
      <c r="AN456" t="s">
        <v>5223</v>
      </c>
      <c r="AO456" t="s">
        <v>5224</v>
      </c>
      <c r="AP456" t="s">
        <v>74</v>
      </c>
      <c r="AQ456" t="s">
        <v>74</v>
      </c>
      <c r="AR456" t="s">
        <v>5218</v>
      </c>
      <c r="AS456" t="s">
        <v>193</v>
      </c>
      <c r="AT456" t="s">
        <v>6139</v>
      </c>
      <c r="AU456">
        <v>1998</v>
      </c>
      <c r="AV456">
        <v>26</v>
      </c>
      <c r="AW456">
        <v>10</v>
      </c>
      <c r="AX456" t="s">
        <v>74</v>
      </c>
      <c r="AY456" t="s">
        <v>74</v>
      </c>
      <c r="AZ456" t="s">
        <v>74</v>
      </c>
      <c r="BA456" t="s">
        <v>74</v>
      </c>
      <c r="BB456">
        <v>883</v>
      </c>
      <c r="BC456">
        <v>886</v>
      </c>
      <c r="BD456" t="s">
        <v>74</v>
      </c>
      <c r="BE456" t="s">
        <v>6365</v>
      </c>
      <c r="BF456" t="str">
        <f>HYPERLINK("http://dx.doi.org/10.1130/0091-7613(1998)026&lt;0883:CESFTA&gt;2.3.CO;2","http://dx.doi.org/10.1130/0091-7613(1998)026&lt;0883:CESFTA&gt;2.3.CO;2")</f>
        <v>http://dx.doi.org/10.1130/0091-7613(1998)026&lt;0883:CESFTA&gt;2.3.CO;2</v>
      </c>
      <c r="BG456" t="s">
        <v>74</v>
      </c>
      <c r="BH456" t="s">
        <v>74</v>
      </c>
      <c r="BI456">
        <v>4</v>
      </c>
      <c r="BJ456" t="s">
        <v>193</v>
      </c>
      <c r="BK456" t="s">
        <v>95</v>
      </c>
      <c r="BL456" t="s">
        <v>193</v>
      </c>
      <c r="BM456" t="s">
        <v>6366</v>
      </c>
      <c r="BN456" t="s">
        <v>74</v>
      </c>
      <c r="BO456" t="s">
        <v>74</v>
      </c>
      <c r="BP456" t="s">
        <v>74</v>
      </c>
      <c r="BQ456" t="s">
        <v>74</v>
      </c>
      <c r="BR456" t="s">
        <v>98</v>
      </c>
      <c r="BS456" t="s">
        <v>6367</v>
      </c>
      <c r="BT456" t="str">
        <f>HYPERLINK("https%3A%2F%2Fwww.webofscience.com%2Fwos%2Fwoscc%2Ffull-record%2FWOS:000076214800005","View Full Record in Web of Science")</f>
        <v>View Full Record in Web of Science</v>
      </c>
    </row>
    <row r="457" spans="1:72" x14ac:dyDescent="0.15">
      <c r="A457" t="s">
        <v>72</v>
      </c>
      <c r="B457" t="s">
        <v>6368</v>
      </c>
      <c r="C457" t="s">
        <v>74</v>
      </c>
      <c r="D457" t="s">
        <v>74</v>
      </c>
      <c r="E457" t="s">
        <v>74</v>
      </c>
      <c r="F457" t="s">
        <v>6368</v>
      </c>
      <c r="G457" t="s">
        <v>74</v>
      </c>
      <c r="H457" t="s">
        <v>74</v>
      </c>
      <c r="I457" t="s">
        <v>6369</v>
      </c>
      <c r="J457" t="s">
        <v>6370</v>
      </c>
      <c r="K457" t="s">
        <v>74</v>
      </c>
      <c r="L457" t="s">
        <v>74</v>
      </c>
      <c r="M457" t="s">
        <v>77</v>
      </c>
      <c r="N457" t="s">
        <v>6371</v>
      </c>
      <c r="O457" t="s">
        <v>74</v>
      </c>
      <c r="P457" t="s">
        <v>74</v>
      </c>
      <c r="Q457" t="s">
        <v>74</v>
      </c>
      <c r="R457" t="s">
        <v>74</v>
      </c>
      <c r="S457" t="s">
        <v>74</v>
      </c>
      <c r="T457" t="s">
        <v>74</v>
      </c>
      <c r="U457" t="s">
        <v>74</v>
      </c>
      <c r="V457" t="s">
        <v>74</v>
      </c>
      <c r="W457" t="s">
        <v>6372</v>
      </c>
      <c r="X457" t="s">
        <v>628</v>
      </c>
      <c r="Y457" t="s">
        <v>6373</v>
      </c>
      <c r="Z457" t="s">
        <v>74</v>
      </c>
      <c r="AA457" t="s">
        <v>6374</v>
      </c>
      <c r="AB457" t="s">
        <v>6375</v>
      </c>
      <c r="AC457" t="s">
        <v>74</v>
      </c>
      <c r="AD457" t="s">
        <v>74</v>
      </c>
      <c r="AE457" t="s">
        <v>74</v>
      </c>
      <c r="AF457" t="s">
        <v>74</v>
      </c>
      <c r="AG457">
        <v>0</v>
      </c>
      <c r="AH457">
        <v>0</v>
      </c>
      <c r="AI457">
        <v>0</v>
      </c>
      <c r="AJ457">
        <v>0</v>
      </c>
      <c r="AK457">
        <v>0</v>
      </c>
      <c r="AL457" t="s">
        <v>6376</v>
      </c>
      <c r="AM457" t="s">
        <v>278</v>
      </c>
      <c r="AN457" t="s">
        <v>6377</v>
      </c>
      <c r="AO457" t="s">
        <v>6378</v>
      </c>
      <c r="AP457" t="s">
        <v>74</v>
      </c>
      <c r="AQ457" t="s">
        <v>74</v>
      </c>
      <c r="AR457" t="s">
        <v>6379</v>
      </c>
      <c r="AS457" t="s">
        <v>6380</v>
      </c>
      <c r="AT457" t="s">
        <v>6139</v>
      </c>
      <c r="AU457">
        <v>1998</v>
      </c>
      <c r="AV457">
        <v>40</v>
      </c>
      <c r="AW457">
        <v>5</v>
      </c>
      <c r="AX457" t="s">
        <v>74</v>
      </c>
      <c r="AY457" t="s">
        <v>74</v>
      </c>
      <c r="AZ457" t="s">
        <v>74</v>
      </c>
      <c r="BA457" t="s">
        <v>74</v>
      </c>
      <c r="BB457">
        <v>72</v>
      </c>
      <c r="BC457">
        <v>73</v>
      </c>
      <c r="BD457" t="s">
        <v>74</v>
      </c>
      <c r="BE457" t="s">
        <v>74</v>
      </c>
      <c r="BF457" t="s">
        <v>74</v>
      </c>
      <c r="BG457" t="s">
        <v>74</v>
      </c>
      <c r="BH457" t="s">
        <v>74</v>
      </c>
      <c r="BI457">
        <v>2</v>
      </c>
      <c r="BJ457" t="s">
        <v>6381</v>
      </c>
      <c r="BK457" t="s">
        <v>95</v>
      </c>
      <c r="BL457" t="s">
        <v>6382</v>
      </c>
      <c r="BM457" t="s">
        <v>6383</v>
      </c>
      <c r="BN457" t="s">
        <v>74</v>
      </c>
      <c r="BO457" t="s">
        <v>74</v>
      </c>
      <c r="BP457" t="s">
        <v>74</v>
      </c>
      <c r="BQ457" t="s">
        <v>74</v>
      </c>
      <c r="BR457" t="s">
        <v>98</v>
      </c>
      <c r="BS457" t="s">
        <v>6384</v>
      </c>
      <c r="BT457" t="str">
        <f>HYPERLINK("https%3A%2F%2Fwww.webofscience.com%2Fwos%2Fwoscc%2Ffull-record%2FWOS:000077384600009","View Full Record in Web of Science")</f>
        <v>View Full Record in Web of Science</v>
      </c>
    </row>
    <row r="458" spans="1:72" x14ac:dyDescent="0.15">
      <c r="A458" t="s">
        <v>72</v>
      </c>
      <c r="B458" t="s">
        <v>6385</v>
      </c>
      <c r="C458" t="s">
        <v>74</v>
      </c>
      <c r="D458" t="s">
        <v>74</v>
      </c>
      <c r="E458" t="s">
        <v>74</v>
      </c>
      <c r="F458" t="s">
        <v>6385</v>
      </c>
      <c r="G458" t="s">
        <v>74</v>
      </c>
      <c r="H458" t="s">
        <v>74</v>
      </c>
      <c r="I458" t="s">
        <v>6386</v>
      </c>
      <c r="J458" t="s">
        <v>6387</v>
      </c>
      <c r="K458" t="s">
        <v>74</v>
      </c>
      <c r="L458" t="s">
        <v>74</v>
      </c>
      <c r="M458" t="s">
        <v>77</v>
      </c>
      <c r="N458" t="s">
        <v>103</v>
      </c>
      <c r="O458" t="s">
        <v>74</v>
      </c>
      <c r="P458" t="s">
        <v>74</v>
      </c>
      <c r="Q458" t="s">
        <v>74</v>
      </c>
      <c r="R458" t="s">
        <v>74</v>
      </c>
      <c r="S458" t="s">
        <v>74</v>
      </c>
      <c r="T458" t="s">
        <v>6388</v>
      </c>
      <c r="U458" t="s">
        <v>6389</v>
      </c>
      <c r="V458" t="s">
        <v>6390</v>
      </c>
      <c r="W458" t="s">
        <v>6391</v>
      </c>
      <c r="X458" t="s">
        <v>6392</v>
      </c>
      <c r="Y458" t="s">
        <v>6393</v>
      </c>
      <c r="Z458" t="s">
        <v>74</v>
      </c>
      <c r="AA458" t="s">
        <v>74</v>
      </c>
      <c r="AB458" t="s">
        <v>6394</v>
      </c>
      <c r="AC458" t="s">
        <v>74</v>
      </c>
      <c r="AD458" t="s">
        <v>74</v>
      </c>
      <c r="AE458" t="s">
        <v>74</v>
      </c>
      <c r="AF458" t="s">
        <v>74</v>
      </c>
      <c r="AG458">
        <v>56</v>
      </c>
      <c r="AH458">
        <v>10</v>
      </c>
      <c r="AI458">
        <v>11</v>
      </c>
      <c r="AJ458">
        <v>0</v>
      </c>
      <c r="AK458">
        <v>6</v>
      </c>
      <c r="AL458" t="s">
        <v>6376</v>
      </c>
      <c r="AM458" t="s">
        <v>278</v>
      </c>
      <c r="AN458" t="s">
        <v>6377</v>
      </c>
      <c r="AO458" t="s">
        <v>6395</v>
      </c>
      <c r="AP458" t="s">
        <v>74</v>
      </c>
      <c r="AQ458" t="s">
        <v>74</v>
      </c>
      <c r="AR458" t="s">
        <v>6396</v>
      </c>
      <c r="AS458" t="s">
        <v>6397</v>
      </c>
      <c r="AT458" t="s">
        <v>6139</v>
      </c>
      <c r="AU458">
        <v>1998</v>
      </c>
      <c r="AV458">
        <v>23</v>
      </c>
      <c r="AW458">
        <v>4</v>
      </c>
      <c r="AX458" t="s">
        <v>74</v>
      </c>
      <c r="AY458" t="s">
        <v>74</v>
      </c>
      <c r="AZ458" t="s">
        <v>74</v>
      </c>
      <c r="BA458" t="s">
        <v>74</v>
      </c>
      <c r="BB458">
        <v>344</v>
      </c>
      <c r="BC458">
        <v>364</v>
      </c>
      <c r="BD458" t="s">
        <v>74</v>
      </c>
      <c r="BE458" t="s">
        <v>6398</v>
      </c>
      <c r="BF458" t="str">
        <f>HYPERLINK("http://dx.doi.org/10.1109/48.725230","http://dx.doi.org/10.1109/48.725230")</f>
        <v>http://dx.doi.org/10.1109/48.725230</v>
      </c>
      <c r="BG458" t="s">
        <v>74</v>
      </c>
      <c r="BH458" t="s">
        <v>74</v>
      </c>
      <c r="BI458">
        <v>21</v>
      </c>
      <c r="BJ458" t="s">
        <v>6399</v>
      </c>
      <c r="BK458" t="s">
        <v>95</v>
      </c>
      <c r="BL458" t="s">
        <v>6400</v>
      </c>
      <c r="BM458" t="s">
        <v>6401</v>
      </c>
      <c r="BN458" t="s">
        <v>74</v>
      </c>
      <c r="BO458" t="s">
        <v>74</v>
      </c>
      <c r="BP458" t="s">
        <v>74</v>
      </c>
      <c r="BQ458" t="s">
        <v>74</v>
      </c>
      <c r="BR458" t="s">
        <v>98</v>
      </c>
      <c r="BS458" t="s">
        <v>6402</v>
      </c>
      <c r="BT458" t="str">
        <f>HYPERLINK("https%3A%2F%2Fwww.webofscience.com%2Fwos%2Fwoscc%2Ffull-record%2FWOS:000076479800004","View Full Record in Web of Science")</f>
        <v>View Full Record in Web of Science</v>
      </c>
    </row>
    <row r="459" spans="1:72" x14ac:dyDescent="0.15">
      <c r="A459" t="s">
        <v>72</v>
      </c>
      <c r="B459" t="s">
        <v>6403</v>
      </c>
      <c r="C459" t="s">
        <v>74</v>
      </c>
      <c r="D459" t="s">
        <v>74</v>
      </c>
      <c r="E459" t="s">
        <v>74</v>
      </c>
      <c r="F459" t="s">
        <v>6403</v>
      </c>
      <c r="G459" t="s">
        <v>74</v>
      </c>
      <c r="H459" t="s">
        <v>74</v>
      </c>
      <c r="I459" t="s">
        <v>6404</v>
      </c>
      <c r="J459" t="s">
        <v>6405</v>
      </c>
      <c r="K459" t="s">
        <v>74</v>
      </c>
      <c r="L459" t="s">
        <v>74</v>
      </c>
      <c r="M459" t="s">
        <v>77</v>
      </c>
      <c r="N459" t="s">
        <v>103</v>
      </c>
      <c r="O459" t="s">
        <v>74</v>
      </c>
      <c r="P459" t="s">
        <v>74</v>
      </c>
      <c r="Q459" t="s">
        <v>74</v>
      </c>
      <c r="R459" t="s">
        <v>74</v>
      </c>
      <c r="S459" t="s">
        <v>74</v>
      </c>
      <c r="T459" t="s">
        <v>6406</v>
      </c>
      <c r="U459" t="s">
        <v>6407</v>
      </c>
      <c r="V459" t="s">
        <v>6408</v>
      </c>
      <c r="W459" t="s">
        <v>6409</v>
      </c>
      <c r="X459" t="s">
        <v>6410</v>
      </c>
      <c r="Y459" t="s">
        <v>6411</v>
      </c>
      <c r="Z459" t="s">
        <v>6412</v>
      </c>
      <c r="AA459" t="s">
        <v>6413</v>
      </c>
      <c r="AB459" t="s">
        <v>6414</v>
      </c>
      <c r="AC459" t="s">
        <v>74</v>
      </c>
      <c r="AD459" t="s">
        <v>74</v>
      </c>
      <c r="AE459" t="s">
        <v>74</v>
      </c>
      <c r="AF459" t="s">
        <v>74</v>
      </c>
      <c r="AG459">
        <v>43</v>
      </c>
      <c r="AH459">
        <v>118</v>
      </c>
      <c r="AI459">
        <v>132</v>
      </c>
      <c r="AJ459">
        <v>0</v>
      </c>
      <c r="AK459">
        <v>26</v>
      </c>
      <c r="AL459" t="s">
        <v>5760</v>
      </c>
      <c r="AM459" t="s">
        <v>580</v>
      </c>
      <c r="AN459" t="s">
        <v>5761</v>
      </c>
      <c r="AO459" t="s">
        <v>6415</v>
      </c>
      <c r="AP459" t="s">
        <v>74</v>
      </c>
      <c r="AQ459" t="s">
        <v>74</v>
      </c>
      <c r="AR459" t="s">
        <v>6416</v>
      </c>
      <c r="AS459" t="s">
        <v>6417</v>
      </c>
      <c r="AT459" t="s">
        <v>6139</v>
      </c>
      <c r="AU459">
        <v>1998</v>
      </c>
      <c r="AV459">
        <v>48</v>
      </c>
      <c r="AW459" t="s">
        <v>74</v>
      </c>
      <c r="AX459">
        <v>4</v>
      </c>
      <c r="AY459" t="s">
        <v>74</v>
      </c>
      <c r="AZ459" t="s">
        <v>74</v>
      </c>
      <c r="BA459" t="s">
        <v>74</v>
      </c>
      <c r="BB459">
        <v>1171</v>
      </c>
      <c r="BC459">
        <v>1180</v>
      </c>
      <c r="BD459" t="s">
        <v>74</v>
      </c>
      <c r="BE459" t="s">
        <v>6418</v>
      </c>
      <c r="BF459" t="str">
        <f>HYPERLINK("http://dx.doi.org/10.1099/00207713-48-4-1171","http://dx.doi.org/10.1099/00207713-48-4-1171")</f>
        <v>http://dx.doi.org/10.1099/00207713-48-4-1171</v>
      </c>
      <c r="BG459" t="s">
        <v>74</v>
      </c>
      <c r="BH459" t="s">
        <v>74</v>
      </c>
      <c r="BI459">
        <v>10</v>
      </c>
      <c r="BJ459" t="s">
        <v>5766</v>
      </c>
      <c r="BK459" t="s">
        <v>95</v>
      </c>
      <c r="BL459" t="s">
        <v>5766</v>
      </c>
      <c r="BM459" t="s">
        <v>6419</v>
      </c>
      <c r="BN459" t="s">
        <v>74</v>
      </c>
      <c r="BO459" t="s">
        <v>1089</v>
      </c>
      <c r="BP459" t="s">
        <v>74</v>
      </c>
      <c r="BQ459" t="s">
        <v>74</v>
      </c>
      <c r="BR459" t="s">
        <v>98</v>
      </c>
      <c r="BS459" t="s">
        <v>6420</v>
      </c>
      <c r="BT459" t="str">
        <f>HYPERLINK("https%3A%2F%2Fwww.webofscience.com%2Fwos%2Fwoscc%2Ffull-record%2FWOS:000076974000009","View Full Record in Web of Science")</f>
        <v>View Full Record in Web of Science</v>
      </c>
    </row>
    <row r="460" spans="1:72" x14ac:dyDescent="0.15">
      <c r="A460" t="s">
        <v>72</v>
      </c>
      <c r="B460" t="s">
        <v>6421</v>
      </c>
      <c r="C460" t="s">
        <v>74</v>
      </c>
      <c r="D460" t="s">
        <v>74</v>
      </c>
      <c r="E460" t="s">
        <v>74</v>
      </c>
      <c r="F460" t="s">
        <v>6421</v>
      </c>
      <c r="G460" t="s">
        <v>74</v>
      </c>
      <c r="H460" t="s">
        <v>74</v>
      </c>
      <c r="I460" t="s">
        <v>6422</v>
      </c>
      <c r="J460" t="s">
        <v>6405</v>
      </c>
      <c r="K460" t="s">
        <v>74</v>
      </c>
      <c r="L460" t="s">
        <v>74</v>
      </c>
      <c r="M460" t="s">
        <v>77</v>
      </c>
      <c r="N460" t="s">
        <v>103</v>
      </c>
      <c r="O460" t="s">
        <v>74</v>
      </c>
      <c r="P460" t="s">
        <v>74</v>
      </c>
      <c r="Q460" t="s">
        <v>74</v>
      </c>
      <c r="R460" t="s">
        <v>74</v>
      </c>
      <c r="S460" t="s">
        <v>74</v>
      </c>
      <c r="T460" t="s">
        <v>6423</v>
      </c>
      <c r="U460" t="s">
        <v>6424</v>
      </c>
      <c r="V460" t="s">
        <v>6425</v>
      </c>
      <c r="W460" t="s">
        <v>6426</v>
      </c>
      <c r="X460" t="s">
        <v>6427</v>
      </c>
      <c r="Y460" t="s">
        <v>6411</v>
      </c>
      <c r="Z460" t="s">
        <v>6412</v>
      </c>
      <c r="AA460" t="s">
        <v>6428</v>
      </c>
      <c r="AB460" t="s">
        <v>6429</v>
      </c>
      <c r="AC460" t="s">
        <v>74</v>
      </c>
      <c r="AD460" t="s">
        <v>74</v>
      </c>
      <c r="AE460" t="s">
        <v>74</v>
      </c>
      <c r="AF460" t="s">
        <v>74</v>
      </c>
      <c r="AG460">
        <v>28</v>
      </c>
      <c r="AH460">
        <v>96</v>
      </c>
      <c r="AI460">
        <v>105</v>
      </c>
      <c r="AJ460">
        <v>1</v>
      </c>
      <c r="AK460">
        <v>14</v>
      </c>
      <c r="AL460" t="s">
        <v>5760</v>
      </c>
      <c r="AM460" t="s">
        <v>580</v>
      </c>
      <c r="AN460" t="s">
        <v>5761</v>
      </c>
      <c r="AO460" t="s">
        <v>6415</v>
      </c>
      <c r="AP460" t="s">
        <v>74</v>
      </c>
      <c r="AQ460" t="s">
        <v>74</v>
      </c>
      <c r="AR460" t="s">
        <v>6416</v>
      </c>
      <c r="AS460" t="s">
        <v>6417</v>
      </c>
      <c r="AT460" t="s">
        <v>6139</v>
      </c>
      <c r="AU460">
        <v>1998</v>
      </c>
      <c r="AV460">
        <v>48</v>
      </c>
      <c r="AW460" t="s">
        <v>74</v>
      </c>
      <c r="AX460">
        <v>4</v>
      </c>
      <c r="AY460" t="s">
        <v>74</v>
      </c>
      <c r="AZ460" t="s">
        <v>74</v>
      </c>
      <c r="BA460" t="s">
        <v>74</v>
      </c>
      <c r="BB460">
        <v>1213</v>
      </c>
      <c r="BC460">
        <v>1222</v>
      </c>
      <c r="BD460" t="s">
        <v>74</v>
      </c>
      <c r="BE460" t="s">
        <v>6430</v>
      </c>
      <c r="BF460" t="str">
        <f>HYPERLINK("http://dx.doi.org/10.1099/00207713-48-4-1213","http://dx.doi.org/10.1099/00207713-48-4-1213")</f>
        <v>http://dx.doi.org/10.1099/00207713-48-4-1213</v>
      </c>
      <c r="BG460" t="s">
        <v>74</v>
      </c>
      <c r="BH460" t="s">
        <v>74</v>
      </c>
      <c r="BI460">
        <v>10</v>
      </c>
      <c r="BJ460" t="s">
        <v>5766</v>
      </c>
      <c r="BK460" t="s">
        <v>95</v>
      </c>
      <c r="BL460" t="s">
        <v>5766</v>
      </c>
      <c r="BM460" t="s">
        <v>6419</v>
      </c>
      <c r="BN460" t="s">
        <v>74</v>
      </c>
      <c r="BO460" t="s">
        <v>1089</v>
      </c>
      <c r="BP460" t="s">
        <v>74</v>
      </c>
      <c r="BQ460" t="s">
        <v>74</v>
      </c>
      <c r="BR460" t="s">
        <v>98</v>
      </c>
      <c r="BS460" t="s">
        <v>6431</v>
      </c>
      <c r="BT460" t="str">
        <f>HYPERLINK("https%3A%2F%2Fwww.webofscience.com%2Fwos%2Fwoscc%2Ffull-record%2FWOS:000076974000014","View Full Record in Web of Science")</f>
        <v>View Full Record in Web of Science</v>
      </c>
    </row>
    <row r="461" spans="1:72" x14ac:dyDescent="0.15">
      <c r="A461" t="s">
        <v>72</v>
      </c>
      <c r="B461" t="s">
        <v>6432</v>
      </c>
      <c r="C461" t="s">
        <v>74</v>
      </c>
      <c r="D461" t="s">
        <v>74</v>
      </c>
      <c r="E461" t="s">
        <v>74</v>
      </c>
      <c r="F461" t="s">
        <v>6432</v>
      </c>
      <c r="G461" t="s">
        <v>74</v>
      </c>
      <c r="H461" t="s">
        <v>74</v>
      </c>
      <c r="I461" t="s">
        <v>6433</v>
      </c>
      <c r="J461" t="s">
        <v>6405</v>
      </c>
      <c r="K461" t="s">
        <v>74</v>
      </c>
      <c r="L461" t="s">
        <v>74</v>
      </c>
      <c r="M461" t="s">
        <v>77</v>
      </c>
      <c r="N461" t="s">
        <v>103</v>
      </c>
      <c r="O461" t="s">
        <v>74</v>
      </c>
      <c r="P461" t="s">
        <v>74</v>
      </c>
      <c r="Q461" t="s">
        <v>74</v>
      </c>
      <c r="R461" t="s">
        <v>74</v>
      </c>
      <c r="S461" t="s">
        <v>74</v>
      </c>
      <c r="T461" t="s">
        <v>6434</v>
      </c>
      <c r="U461" t="s">
        <v>6435</v>
      </c>
      <c r="V461" t="s">
        <v>6436</v>
      </c>
      <c r="W461" t="s">
        <v>6437</v>
      </c>
      <c r="X461" t="s">
        <v>6438</v>
      </c>
      <c r="Y461" t="s">
        <v>6439</v>
      </c>
      <c r="Z461" t="s">
        <v>6440</v>
      </c>
      <c r="AA461" t="s">
        <v>6441</v>
      </c>
      <c r="AB461" t="s">
        <v>6442</v>
      </c>
      <c r="AC461" t="s">
        <v>74</v>
      </c>
      <c r="AD461" t="s">
        <v>74</v>
      </c>
      <c r="AE461" t="s">
        <v>74</v>
      </c>
      <c r="AF461" t="s">
        <v>74</v>
      </c>
      <c r="AG461">
        <v>42</v>
      </c>
      <c r="AH461">
        <v>65</v>
      </c>
      <c r="AI461">
        <v>69</v>
      </c>
      <c r="AJ461">
        <v>1</v>
      </c>
      <c r="AK461">
        <v>3</v>
      </c>
      <c r="AL461" t="s">
        <v>5760</v>
      </c>
      <c r="AM461" t="s">
        <v>580</v>
      </c>
      <c r="AN461" t="s">
        <v>5761</v>
      </c>
      <c r="AO461" t="s">
        <v>6415</v>
      </c>
      <c r="AP461" t="s">
        <v>74</v>
      </c>
      <c r="AQ461" t="s">
        <v>74</v>
      </c>
      <c r="AR461" t="s">
        <v>6416</v>
      </c>
      <c r="AS461" t="s">
        <v>6417</v>
      </c>
      <c r="AT461" t="s">
        <v>6139</v>
      </c>
      <c r="AU461">
        <v>1998</v>
      </c>
      <c r="AV461">
        <v>48</v>
      </c>
      <c r="AW461" t="s">
        <v>74</v>
      </c>
      <c r="AX461">
        <v>4</v>
      </c>
      <c r="AY461" t="s">
        <v>74</v>
      </c>
      <c r="AZ461" t="s">
        <v>74</v>
      </c>
      <c r="BA461" t="s">
        <v>74</v>
      </c>
      <c r="BB461">
        <v>1357</v>
      </c>
      <c r="BC461">
        <v>1362</v>
      </c>
      <c r="BD461" t="s">
        <v>74</v>
      </c>
      <c r="BE461" t="s">
        <v>6443</v>
      </c>
      <c r="BF461" t="str">
        <f>HYPERLINK("http://dx.doi.org/10.1099/00207713-48-4-1357","http://dx.doi.org/10.1099/00207713-48-4-1357")</f>
        <v>http://dx.doi.org/10.1099/00207713-48-4-1357</v>
      </c>
      <c r="BG461" t="s">
        <v>74</v>
      </c>
      <c r="BH461" t="s">
        <v>74</v>
      </c>
      <c r="BI461">
        <v>6</v>
      </c>
      <c r="BJ461" t="s">
        <v>5766</v>
      </c>
      <c r="BK461" t="s">
        <v>95</v>
      </c>
      <c r="BL461" t="s">
        <v>5766</v>
      </c>
      <c r="BM461" t="s">
        <v>6419</v>
      </c>
      <c r="BN461">
        <v>9828437</v>
      </c>
      <c r="BO461" t="s">
        <v>1089</v>
      </c>
      <c r="BP461" t="s">
        <v>74</v>
      </c>
      <c r="BQ461" t="s">
        <v>74</v>
      </c>
      <c r="BR461" t="s">
        <v>98</v>
      </c>
      <c r="BS461" t="s">
        <v>6444</v>
      </c>
      <c r="BT461" t="str">
        <f>HYPERLINK("https%3A%2F%2Fwww.webofscience.com%2Fwos%2Fwoscc%2Ffull-record%2FWOS:000076974000029","View Full Record in Web of Science")</f>
        <v>View Full Record in Web of Science</v>
      </c>
    </row>
    <row r="462" spans="1:72" x14ac:dyDescent="0.15">
      <c r="A462" t="s">
        <v>72</v>
      </c>
      <c r="B462" t="s">
        <v>6445</v>
      </c>
      <c r="C462" t="s">
        <v>74</v>
      </c>
      <c r="D462" t="s">
        <v>74</v>
      </c>
      <c r="E462" t="s">
        <v>74</v>
      </c>
      <c r="F462" t="s">
        <v>6445</v>
      </c>
      <c r="G462" t="s">
        <v>74</v>
      </c>
      <c r="H462" t="s">
        <v>74</v>
      </c>
      <c r="I462" t="s">
        <v>6446</v>
      </c>
      <c r="J462" t="s">
        <v>6405</v>
      </c>
      <c r="K462" t="s">
        <v>74</v>
      </c>
      <c r="L462" t="s">
        <v>74</v>
      </c>
      <c r="M462" t="s">
        <v>77</v>
      </c>
      <c r="N462" t="s">
        <v>103</v>
      </c>
      <c r="O462" t="s">
        <v>74</v>
      </c>
      <c r="P462" t="s">
        <v>74</v>
      </c>
      <c r="Q462" t="s">
        <v>74</v>
      </c>
      <c r="R462" t="s">
        <v>74</v>
      </c>
      <c r="S462" t="s">
        <v>74</v>
      </c>
      <c r="T462" t="s">
        <v>6447</v>
      </c>
      <c r="U462" t="s">
        <v>6448</v>
      </c>
      <c r="V462" t="s">
        <v>6449</v>
      </c>
      <c r="W462" t="s">
        <v>6450</v>
      </c>
      <c r="X462" t="s">
        <v>6451</v>
      </c>
      <c r="Y462" t="s">
        <v>6452</v>
      </c>
      <c r="Z462" t="s">
        <v>6453</v>
      </c>
      <c r="AA462" t="s">
        <v>6454</v>
      </c>
      <c r="AB462" t="s">
        <v>6455</v>
      </c>
      <c r="AC462" t="s">
        <v>74</v>
      </c>
      <c r="AD462" t="s">
        <v>74</v>
      </c>
      <c r="AE462" t="s">
        <v>74</v>
      </c>
      <c r="AF462" t="s">
        <v>74</v>
      </c>
      <c r="AG462">
        <v>28</v>
      </c>
      <c r="AH462">
        <v>71</v>
      </c>
      <c r="AI462">
        <v>75</v>
      </c>
      <c r="AJ462">
        <v>0</v>
      </c>
      <c r="AK462">
        <v>4</v>
      </c>
      <c r="AL462" t="s">
        <v>5760</v>
      </c>
      <c r="AM462" t="s">
        <v>580</v>
      </c>
      <c r="AN462" t="s">
        <v>5761</v>
      </c>
      <c r="AO462" t="s">
        <v>6415</v>
      </c>
      <c r="AP462" t="s">
        <v>74</v>
      </c>
      <c r="AQ462" t="s">
        <v>74</v>
      </c>
      <c r="AR462" t="s">
        <v>6416</v>
      </c>
      <c r="AS462" t="s">
        <v>6417</v>
      </c>
      <c r="AT462" t="s">
        <v>6139</v>
      </c>
      <c r="AU462">
        <v>1998</v>
      </c>
      <c r="AV462">
        <v>48</v>
      </c>
      <c r="AW462" t="s">
        <v>74</v>
      </c>
      <c r="AX462">
        <v>4</v>
      </c>
      <c r="AY462" t="s">
        <v>74</v>
      </c>
      <c r="AZ462" t="s">
        <v>74</v>
      </c>
      <c r="BA462" t="s">
        <v>74</v>
      </c>
      <c r="BB462">
        <v>1405</v>
      </c>
      <c r="BC462">
        <v>1412</v>
      </c>
      <c r="BD462" t="s">
        <v>74</v>
      </c>
      <c r="BE462" t="s">
        <v>6456</v>
      </c>
      <c r="BF462" t="str">
        <f>HYPERLINK("http://dx.doi.org/10.1099/00207713-48-4-1405","http://dx.doi.org/10.1099/00207713-48-4-1405")</f>
        <v>http://dx.doi.org/10.1099/00207713-48-4-1405</v>
      </c>
      <c r="BG462" t="s">
        <v>74</v>
      </c>
      <c r="BH462" t="s">
        <v>74</v>
      </c>
      <c r="BI462">
        <v>8</v>
      </c>
      <c r="BJ462" t="s">
        <v>5766</v>
      </c>
      <c r="BK462" t="s">
        <v>95</v>
      </c>
      <c r="BL462" t="s">
        <v>5766</v>
      </c>
      <c r="BM462" t="s">
        <v>6419</v>
      </c>
      <c r="BN462">
        <v>9828443</v>
      </c>
      <c r="BO462" t="s">
        <v>1089</v>
      </c>
      <c r="BP462" t="s">
        <v>74</v>
      </c>
      <c r="BQ462" t="s">
        <v>74</v>
      </c>
      <c r="BR462" t="s">
        <v>98</v>
      </c>
      <c r="BS462" t="s">
        <v>6457</v>
      </c>
      <c r="BT462" t="str">
        <f>HYPERLINK("https%3A%2F%2Fwww.webofscience.com%2Fwos%2Fwoscc%2Ffull-record%2FWOS:000076974000035","View Full Record in Web of Science")</f>
        <v>View Full Record in Web of Science</v>
      </c>
    </row>
    <row r="463" spans="1:72" x14ac:dyDescent="0.15">
      <c r="A463" t="s">
        <v>72</v>
      </c>
      <c r="B463" t="s">
        <v>6458</v>
      </c>
      <c r="C463" t="s">
        <v>74</v>
      </c>
      <c r="D463" t="s">
        <v>74</v>
      </c>
      <c r="E463" t="s">
        <v>74</v>
      </c>
      <c r="F463" t="s">
        <v>6458</v>
      </c>
      <c r="G463" t="s">
        <v>74</v>
      </c>
      <c r="H463" t="s">
        <v>74</v>
      </c>
      <c r="I463" t="s">
        <v>6459</v>
      </c>
      <c r="J463" t="s">
        <v>6460</v>
      </c>
      <c r="K463" t="s">
        <v>74</v>
      </c>
      <c r="L463" t="s">
        <v>74</v>
      </c>
      <c r="M463" t="s">
        <v>77</v>
      </c>
      <c r="N463" t="s">
        <v>123</v>
      </c>
      <c r="O463" t="s">
        <v>6461</v>
      </c>
      <c r="P463" t="s">
        <v>6462</v>
      </c>
      <c r="Q463" t="s">
        <v>6463</v>
      </c>
      <c r="R463" t="s">
        <v>74</v>
      </c>
      <c r="S463" t="s">
        <v>6464</v>
      </c>
      <c r="T463" t="s">
        <v>6465</v>
      </c>
      <c r="U463" t="s">
        <v>6466</v>
      </c>
      <c r="V463" t="s">
        <v>6467</v>
      </c>
      <c r="W463" t="s">
        <v>6468</v>
      </c>
      <c r="X463" t="s">
        <v>6469</v>
      </c>
      <c r="Y463" t="s">
        <v>6470</v>
      </c>
      <c r="Z463" t="s">
        <v>6471</v>
      </c>
      <c r="AA463" t="s">
        <v>6472</v>
      </c>
      <c r="AB463" t="s">
        <v>6473</v>
      </c>
      <c r="AC463" t="s">
        <v>74</v>
      </c>
      <c r="AD463" t="s">
        <v>74</v>
      </c>
      <c r="AE463" t="s">
        <v>74</v>
      </c>
      <c r="AF463" t="s">
        <v>74</v>
      </c>
      <c r="AG463">
        <v>86</v>
      </c>
      <c r="AH463">
        <v>48</v>
      </c>
      <c r="AI463">
        <v>52</v>
      </c>
      <c r="AJ463">
        <v>1</v>
      </c>
      <c r="AK463">
        <v>13</v>
      </c>
      <c r="AL463" t="s">
        <v>4701</v>
      </c>
      <c r="AM463" t="s">
        <v>4702</v>
      </c>
      <c r="AN463" t="s">
        <v>4703</v>
      </c>
      <c r="AO463" t="s">
        <v>6474</v>
      </c>
      <c r="AP463" t="s">
        <v>6475</v>
      </c>
      <c r="AQ463" t="s">
        <v>74</v>
      </c>
      <c r="AR463" t="s">
        <v>6476</v>
      </c>
      <c r="AS463" t="s">
        <v>6477</v>
      </c>
      <c r="AT463" t="s">
        <v>6139</v>
      </c>
      <c r="AU463">
        <v>1998</v>
      </c>
      <c r="AV463">
        <v>23</v>
      </c>
      <c r="AW463">
        <v>4</v>
      </c>
      <c r="AX463" t="s">
        <v>74</v>
      </c>
      <c r="AY463" t="s">
        <v>74</v>
      </c>
      <c r="AZ463" t="s">
        <v>74</v>
      </c>
      <c r="BA463" t="s">
        <v>74</v>
      </c>
      <c r="BB463">
        <v>423</v>
      </c>
      <c r="BC463">
        <v>435</v>
      </c>
      <c r="BD463" t="s">
        <v>74</v>
      </c>
      <c r="BE463" t="s">
        <v>6478</v>
      </c>
      <c r="BF463" t="str">
        <f>HYPERLINK("http://dx.doi.org/10.1007/BF02936136","http://dx.doi.org/10.1007/BF02936136")</f>
        <v>http://dx.doi.org/10.1007/BF02936136</v>
      </c>
      <c r="BG463" t="s">
        <v>74</v>
      </c>
      <c r="BH463" t="s">
        <v>74</v>
      </c>
      <c r="BI463">
        <v>13</v>
      </c>
      <c r="BJ463" t="s">
        <v>6479</v>
      </c>
      <c r="BK463" t="s">
        <v>144</v>
      </c>
      <c r="BL463" t="s">
        <v>6480</v>
      </c>
      <c r="BM463" t="s">
        <v>6481</v>
      </c>
      <c r="BN463" t="s">
        <v>74</v>
      </c>
      <c r="BO463" t="s">
        <v>74</v>
      </c>
      <c r="BP463" t="s">
        <v>74</v>
      </c>
      <c r="BQ463" t="s">
        <v>74</v>
      </c>
      <c r="BR463" t="s">
        <v>98</v>
      </c>
      <c r="BS463" t="s">
        <v>6482</v>
      </c>
      <c r="BT463" t="str">
        <f>HYPERLINK("https%3A%2F%2Fwww.webofscience.com%2Fwos%2Fwoscc%2Ffull-record%2FWOS:000076725300016","View Full Record in Web of Science")</f>
        <v>View Full Record in Web of Science</v>
      </c>
    </row>
    <row r="464" spans="1:72" x14ac:dyDescent="0.15">
      <c r="A464" t="s">
        <v>72</v>
      </c>
      <c r="B464" t="s">
        <v>6483</v>
      </c>
      <c r="C464" t="s">
        <v>74</v>
      </c>
      <c r="D464" t="s">
        <v>74</v>
      </c>
      <c r="E464" t="s">
        <v>74</v>
      </c>
      <c r="F464" t="s">
        <v>6483</v>
      </c>
      <c r="G464" t="s">
        <v>74</v>
      </c>
      <c r="H464" t="s">
        <v>74</v>
      </c>
      <c r="I464" t="s">
        <v>6484</v>
      </c>
      <c r="J464" t="s">
        <v>1450</v>
      </c>
      <c r="K464" t="s">
        <v>74</v>
      </c>
      <c r="L464" t="s">
        <v>74</v>
      </c>
      <c r="M464" t="s">
        <v>77</v>
      </c>
      <c r="N464" t="s">
        <v>103</v>
      </c>
      <c r="O464" t="s">
        <v>74</v>
      </c>
      <c r="P464" t="s">
        <v>74</v>
      </c>
      <c r="Q464" t="s">
        <v>74</v>
      </c>
      <c r="R464" t="s">
        <v>74</v>
      </c>
      <c r="S464" t="s">
        <v>74</v>
      </c>
      <c r="T464" t="s">
        <v>74</v>
      </c>
      <c r="U464" t="s">
        <v>6485</v>
      </c>
      <c r="V464" t="s">
        <v>6486</v>
      </c>
      <c r="W464" t="s">
        <v>6487</v>
      </c>
      <c r="X464" t="s">
        <v>6488</v>
      </c>
      <c r="Y464" t="s">
        <v>6489</v>
      </c>
      <c r="Z464" t="s">
        <v>74</v>
      </c>
      <c r="AA464" t="s">
        <v>6490</v>
      </c>
      <c r="AB464" t="s">
        <v>6491</v>
      </c>
      <c r="AC464" t="s">
        <v>74</v>
      </c>
      <c r="AD464" t="s">
        <v>74</v>
      </c>
      <c r="AE464" t="s">
        <v>74</v>
      </c>
      <c r="AF464" t="s">
        <v>74</v>
      </c>
      <c r="AG464">
        <v>26</v>
      </c>
      <c r="AH464">
        <v>16</v>
      </c>
      <c r="AI464">
        <v>17</v>
      </c>
      <c r="AJ464">
        <v>0</v>
      </c>
      <c r="AK464">
        <v>0</v>
      </c>
      <c r="AL464" t="s">
        <v>966</v>
      </c>
      <c r="AM464" t="s">
        <v>967</v>
      </c>
      <c r="AN464" t="s">
        <v>968</v>
      </c>
      <c r="AO464" t="s">
        <v>74</v>
      </c>
      <c r="AP464" t="s">
        <v>74</v>
      </c>
      <c r="AQ464" t="s">
        <v>74</v>
      </c>
      <c r="AR464" t="s">
        <v>1460</v>
      </c>
      <c r="AS464" t="s">
        <v>1461</v>
      </c>
      <c r="AT464" t="s">
        <v>6492</v>
      </c>
      <c r="AU464">
        <v>1998</v>
      </c>
      <c r="AV464">
        <v>103</v>
      </c>
      <c r="AW464" t="s">
        <v>6493</v>
      </c>
      <c r="AX464" t="s">
        <v>74</v>
      </c>
      <c r="AY464" t="s">
        <v>74</v>
      </c>
      <c r="AZ464" t="s">
        <v>74</v>
      </c>
      <c r="BA464" t="s">
        <v>74</v>
      </c>
      <c r="BB464">
        <v>23593</v>
      </c>
      <c r="BC464">
        <v>23609</v>
      </c>
      <c r="BD464" t="s">
        <v>74</v>
      </c>
      <c r="BE464" t="s">
        <v>6494</v>
      </c>
      <c r="BF464" t="str">
        <f>HYPERLINK("http://dx.doi.org/10.1029/98JA01747","http://dx.doi.org/10.1029/98JA01747")</f>
        <v>http://dx.doi.org/10.1029/98JA01747</v>
      </c>
      <c r="BG464" t="s">
        <v>74</v>
      </c>
      <c r="BH464" t="s">
        <v>74</v>
      </c>
      <c r="BI464">
        <v>17</v>
      </c>
      <c r="BJ464" t="s">
        <v>1464</v>
      </c>
      <c r="BK464" t="s">
        <v>95</v>
      </c>
      <c r="BL464" t="s">
        <v>1464</v>
      </c>
      <c r="BM464" t="s">
        <v>6495</v>
      </c>
      <c r="BN464" t="s">
        <v>74</v>
      </c>
      <c r="BO464" t="s">
        <v>1089</v>
      </c>
      <c r="BP464" t="s">
        <v>74</v>
      </c>
      <c r="BQ464" t="s">
        <v>74</v>
      </c>
      <c r="BR464" t="s">
        <v>98</v>
      </c>
      <c r="BS464" t="s">
        <v>6496</v>
      </c>
      <c r="BT464" t="str">
        <f>HYPERLINK("https%3A%2F%2Fwww.webofscience.com%2Fwos%2Fwoscc%2Ffull-record%2FWOS:000076262300020","View Full Record in Web of Science")</f>
        <v>View Full Record in Web of Science</v>
      </c>
    </row>
    <row r="465" spans="1:72" x14ac:dyDescent="0.15">
      <c r="A465" t="s">
        <v>72</v>
      </c>
      <c r="B465" t="s">
        <v>6497</v>
      </c>
      <c r="C465" t="s">
        <v>74</v>
      </c>
      <c r="D465" t="s">
        <v>74</v>
      </c>
      <c r="E465" t="s">
        <v>74</v>
      </c>
      <c r="F465" t="s">
        <v>6497</v>
      </c>
      <c r="G465" t="s">
        <v>74</v>
      </c>
      <c r="H465" t="s">
        <v>74</v>
      </c>
      <c r="I465" t="s">
        <v>6498</v>
      </c>
      <c r="J465" t="s">
        <v>1450</v>
      </c>
      <c r="K465" t="s">
        <v>74</v>
      </c>
      <c r="L465" t="s">
        <v>74</v>
      </c>
      <c r="M465" t="s">
        <v>77</v>
      </c>
      <c r="N465" t="s">
        <v>103</v>
      </c>
      <c r="O465" t="s">
        <v>74</v>
      </c>
      <c r="P465" t="s">
        <v>74</v>
      </c>
      <c r="Q465" t="s">
        <v>74</v>
      </c>
      <c r="R465" t="s">
        <v>74</v>
      </c>
      <c r="S465" t="s">
        <v>74</v>
      </c>
      <c r="T465" t="s">
        <v>74</v>
      </c>
      <c r="U465" t="s">
        <v>6499</v>
      </c>
      <c r="V465" t="s">
        <v>6500</v>
      </c>
      <c r="W465" t="s">
        <v>6501</v>
      </c>
      <c r="X465" t="s">
        <v>6502</v>
      </c>
      <c r="Y465" t="s">
        <v>6503</v>
      </c>
      <c r="Z465" t="s">
        <v>74</v>
      </c>
      <c r="AA465" t="s">
        <v>6504</v>
      </c>
      <c r="AB465" t="s">
        <v>6505</v>
      </c>
      <c r="AC465" t="s">
        <v>74</v>
      </c>
      <c r="AD465" t="s">
        <v>74</v>
      </c>
      <c r="AE465" t="s">
        <v>74</v>
      </c>
      <c r="AF465" t="s">
        <v>74</v>
      </c>
      <c r="AG465">
        <v>30</v>
      </c>
      <c r="AH465">
        <v>39</v>
      </c>
      <c r="AI465">
        <v>39</v>
      </c>
      <c r="AJ465">
        <v>0</v>
      </c>
      <c r="AK465">
        <v>1</v>
      </c>
      <c r="AL465" t="s">
        <v>966</v>
      </c>
      <c r="AM465" t="s">
        <v>967</v>
      </c>
      <c r="AN465" t="s">
        <v>968</v>
      </c>
      <c r="AO465" t="s">
        <v>74</v>
      </c>
      <c r="AP465" t="s">
        <v>74</v>
      </c>
      <c r="AQ465" t="s">
        <v>74</v>
      </c>
      <c r="AR465" t="s">
        <v>1460</v>
      </c>
      <c r="AS465" t="s">
        <v>1461</v>
      </c>
      <c r="AT465" t="s">
        <v>6492</v>
      </c>
      <c r="AU465">
        <v>1998</v>
      </c>
      <c r="AV465">
        <v>103</v>
      </c>
      <c r="AW465" t="s">
        <v>6493</v>
      </c>
      <c r="AX465" t="s">
        <v>74</v>
      </c>
      <c r="AY465" t="s">
        <v>74</v>
      </c>
      <c r="AZ465" t="s">
        <v>74</v>
      </c>
      <c r="BA465" t="s">
        <v>74</v>
      </c>
      <c r="BB465">
        <v>23611</v>
      </c>
      <c r="BC465">
        <v>23622</v>
      </c>
      <c r="BD465" t="s">
        <v>74</v>
      </c>
      <c r="BE465" t="s">
        <v>6506</v>
      </c>
      <c r="BF465" t="str">
        <f>HYPERLINK("http://dx.doi.org/10.1029/98JA01955","http://dx.doi.org/10.1029/98JA01955")</f>
        <v>http://dx.doi.org/10.1029/98JA01955</v>
      </c>
      <c r="BG465" t="s">
        <v>74</v>
      </c>
      <c r="BH465" t="s">
        <v>74</v>
      </c>
      <c r="BI465">
        <v>12</v>
      </c>
      <c r="BJ465" t="s">
        <v>1464</v>
      </c>
      <c r="BK465" t="s">
        <v>95</v>
      </c>
      <c r="BL465" t="s">
        <v>1464</v>
      </c>
      <c r="BM465" t="s">
        <v>6495</v>
      </c>
      <c r="BN465" t="s">
        <v>74</v>
      </c>
      <c r="BO465" t="s">
        <v>1089</v>
      </c>
      <c r="BP465" t="s">
        <v>74</v>
      </c>
      <c r="BQ465" t="s">
        <v>74</v>
      </c>
      <c r="BR465" t="s">
        <v>98</v>
      </c>
      <c r="BS465" t="s">
        <v>6507</v>
      </c>
      <c r="BT465" t="str">
        <f>HYPERLINK("https%3A%2F%2Fwww.webofscience.com%2Fwos%2Fwoscc%2Ffull-record%2FWOS:000076262300021","View Full Record in Web of Science")</f>
        <v>View Full Record in Web of Science</v>
      </c>
    </row>
    <row r="466" spans="1:72" x14ac:dyDescent="0.15">
      <c r="A466" t="s">
        <v>72</v>
      </c>
      <c r="B466" t="s">
        <v>6508</v>
      </c>
      <c r="C466" t="s">
        <v>74</v>
      </c>
      <c r="D466" t="s">
        <v>74</v>
      </c>
      <c r="E466" t="s">
        <v>74</v>
      </c>
      <c r="F466" t="s">
        <v>6508</v>
      </c>
      <c r="G466" t="s">
        <v>74</v>
      </c>
      <c r="H466" t="s">
        <v>74</v>
      </c>
      <c r="I466" t="s">
        <v>6509</v>
      </c>
      <c r="J466" t="s">
        <v>1450</v>
      </c>
      <c r="K466" t="s">
        <v>74</v>
      </c>
      <c r="L466" t="s">
        <v>74</v>
      </c>
      <c r="M466" t="s">
        <v>77</v>
      </c>
      <c r="N466" t="s">
        <v>103</v>
      </c>
      <c r="O466" t="s">
        <v>74</v>
      </c>
      <c r="P466" t="s">
        <v>74</v>
      </c>
      <c r="Q466" t="s">
        <v>74</v>
      </c>
      <c r="R466" t="s">
        <v>74</v>
      </c>
      <c r="S466" t="s">
        <v>74</v>
      </c>
      <c r="T466" t="s">
        <v>74</v>
      </c>
      <c r="U466" t="s">
        <v>6510</v>
      </c>
      <c r="V466" t="s">
        <v>6511</v>
      </c>
      <c r="W466" t="s">
        <v>6512</v>
      </c>
      <c r="X466" t="s">
        <v>6513</v>
      </c>
      <c r="Y466" t="s">
        <v>6514</v>
      </c>
      <c r="Z466" t="s">
        <v>6515</v>
      </c>
      <c r="AA466" t="s">
        <v>74</v>
      </c>
      <c r="AB466" t="s">
        <v>5304</v>
      </c>
      <c r="AC466" t="s">
        <v>74</v>
      </c>
      <c r="AD466" t="s">
        <v>74</v>
      </c>
      <c r="AE466" t="s">
        <v>74</v>
      </c>
      <c r="AF466" t="s">
        <v>74</v>
      </c>
      <c r="AG466">
        <v>26</v>
      </c>
      <c r="AH466">
        <v>87</v>
      </c>
      <c r="AI466">
        <v>88</v>
      </c>
      <c r="AJ466">
        <v>0</v>
      </c>
      <c r="AK466">
        <v>3</v>
      </c>
      <c r="AL466" t="s">
        <v>966</v>
      </c>
      <c r="AM466" t="s">
        <v>967</v>
      </c>
      <c r="AN466" t="s">
        <v>968</v>
      </c>
      <c r="AO466" t="s">
        <v>1458</v>
      </c>
      <c r="AP466" t="s">
        <v>1459</v>
      </c>
      <c r="AQ466" t="s">
        <v>74</v>
      </c>
      <c r="AR466" t="s">
        <v>1460</v>
      </c>
      <c r="AS466" t="s">
        <v>1461</v>
      </c>
      <c r="AT466" t="s">
        <v>6492</v>
      </c>
      <c r="AU466">
        <v>1998</v>
      </c>
      <c r="AV466">
        <v>103</v>
      </c>
      <c r="AW466" t="s">
        <v>6493</v>
      </c>
      <c r="AX466" t="s">
        <v>74</v>
      </c>
      <c r="AY466" t="s">
        <v>74</v>
      </c>
      <c r="AZ466" t="s">
        <v>74</v>
      </c>
      <c r="BA466" t="s">
        <v>74</v>
      </c>
      <c r="BB466">
        <v>23733</v>
      </c>
      <c r="BC466">
        <v>23742</v>
      </c>
      <c r="BD466" t="s">
        <v>74</v>
      </c>
      <c r="BE466" t="s">
        <v>6516</v>
      </c>
      <c r="BF466" t="str">
        <f>HYPERLINK("http://dx.doi.org/10.1029/98JA02100","http://dx.doi.org/10.1029/98JA02100")</f>
        <v>http://dx.doi.org/10.1029/98JA02100</v>
      </c>
      <c r="BG466" t="s">
        <v>74</v>
      </c>
      <c r="BH466" t="s">
        <v>74</v>
      </c>
      <c r="BI466">
        <v>10</v>
      </c>
      <c r="BJ466" t="s">
        <v>1464</v>
      </c>
      <c r="BK466" t="s">
        <v>95</v>
      </c>
      <c r="BL466" t="s">
        <v>1464</v>
      </c>
      <c r="BM466" t="s">
        <v>6495</v>
      </c>
      <c r="BN466" t="s">
        <v>74</v>
      </c>
      <c r="BO466" t="s">
        <v>1089</v>
      </c>
      <c r="BP466" t="s">
        <v>74</v>
      </c>
      <c r="BQ466" t="s">
        <v>74</v>
      </c>
      <c r="BR466" t="s">
        <v>98</v>
      </c>
      <c r="BS466" t="s">
        <v>6517</v>
      </c>
      <c r="BT466" t="str">
        <f>HYPERLINK("https%3A%2F%2Fwww.webofscience.com%2Fwos%2Fwoscc%2Ffull-record%2FWOS:000076262300031","View Full Record in Web of Science")</f>
        <v>View Full Record in Web of Science</v>
      </c>
    </row>
    <row r="467" spans="1:72" x14ac:dyDescent="0.15">
      <c r="A467" t="s">
        <v>72</v>
      </c>
      <c r="B467" t="s">
        <v>6518</v>
      </c>
      <c r="C467" t="s">
        <v>74</v>
      </c>
      <c r="D467" t="s">
        <v>74</v>
      </c>
      <c r="E467" t="s">
        <v>74</v>
      </c>
      <c r="F467" t="s">
        <v>6518</v>
      </c>
      <c r="G467" t="s">
        <v>74</v>
      </c>
      <c r="H467" t="s">
        <v>74</v>
      </c>
      <c r="I467" t="s">
        <v>6519</v>
      </c>
      <c r="J467" t="s">
        <v>6520</v>
      </c>
      <c r="K467" t="s">
        <v>74</v>
      </c>
      <c r="L467" t="s">
        <v>74</v>
      </c>
      <c r="M467" t="s">
        <v>77</v>
      </c>
      <c r="N467" t="s">
        <v>103</v>
      </c>
      <c r="O467" t="s">
        <v>74</v>
      </c>
      <c r="P467" t="s">
        <v>74</v>
      </c>
      <c r="Q467" t="s">
        <v>74</v>
      </c>
      <c r="R467" t="s">
        <v>74</v>
      </c>
      <c r="S467" t="s">
        <v>74</v>
      </c>
      <c r="T467" t="s">
        <v>6521</v>
      </c>
      <c r="U467" t="s">
        <v>6522</v>
      </c>
      <c r="V467" t="s">
        <v>6523</v>
      </c>
      <c r="W467" t="s">
        <v>6524</v>
      </c>
      <c r="X467" t="s">
        <v>6525</v>
      </c>
      <c r="Y467" t="s">
        <v>6526</v>
      </c>
      <c r="Z467" t="s">
        <v>6527</v>
      </c>
      <c r="AA467" t="s">
        <v>6528</v>
      </c>
      <c r="AB467" t="s">
        <v>74</v>
      </c>
      <c r="AC467" t="s">
        <v>74</v>
      </c>
      <c r="AD467" t="s">
        <v>74</v>
      </c>
      <c r="AE467" t="s">
        <v>74</v>
      </c>
      <c r="AF467" t="s">
        <v>74</v>
      </c>
      <c r="AG467">
        <v>47</v>
      </c>
      <c r="AH467">
        <v>6</v>
      </c>
      <c r="AI467">
        <v>8</v>
      </c>
      <c r="AJ467">
        <v>0</v>
      </c>
      <c r="AK467">
        <v>21</v>
      </c>
      <c r="AL467" t="s">
        <v>445</v>
      </c>
      <c r="AM467" t="s">
        <v>229</v>
      </c>
      <c r="AN467" t="s">
        <v>446</v>
      </c>
      <c r="AO467" t="s">
        <v>6529</v>
      </c>
      <c r="AP467" t="s">
        <v>6530</v>
      </c>
      <c r="AQ467" t="s">
        <v>74</v>
      </c>
      <c r="AR467" t="s">
        <v>6531</v>
      </c>
      <c r="AS467" t="s">
        <v>6532</v>
      </c>
      <c r="AT467" t="s">
        <v>6139</v>
      </c>
      <c r="AU467">
        <v>1998</v>
      </c>
      <c r="AV467">
        <v>44</v>
      </c>
      <c r="AW467">
        <v>10</v>
      </c>
      <c r="AX467" t="s">
        <v>74</v>
      </c>
      <c r="AY467" t="s">
        <v>74</v>
      </c>
      <c r="AZ467" t="s">
        <v>74</v>
      </c>
      <c r="BA467" t="s">
        <v>74</v>
      </c>
      <c r="BB467">
        <v>991</v>
      </c>
      <c r="BC467">
        <v>999</v>
      </c>
      <c r="BD467" t="s">
        <v>74</v>
      </c>
      <c r="BE467" t="s">
        <v>6533</v>
      </c>
      <c r="BF467" t="str">
        <f>HYPERLINK("http://dx.doi.org/10.1016/S0022-1910(97)00174-1","http://dx.doi.org/10.1016/S0022-1910(97)00174-1")</f>
        <v>http://dx.doi.org/10.1016/S0022-1910(97)00174-1</v>
      </c>
      <c r="BG467" t="s">
        <v>74</v>
      </c>
      <c r="BH467" t="s">
        <v>74</v>
      </c>
      <c r="BI467">
        <v>9</v>
      </c>
      <c r="BJ467" t="s">
        <v>6534</v>
      </c>
      <c r="BK467" t="s">
        <v>95</v>
      </c>
      <c r="BL467" t="s">
        <v>6534</v>
      </c>
      <c r="BM467" t="s">
        <v>6535</v>
      </c>
      <c r="BN467">
        <v>12770436</v>
      </c>
      <c r="BO467" t="s">
        <v>74</v>
      </c>
      <c r="BP467" t="s">
        <v>74</v>
      </c>
      <c r="BQ467" t="s">
        <v>74</v>
      </c>
      <c r="BR467" t="s">
        <v>98</v>
      </c>
      <c r="BS467" t="s">
        <v>6536</v>
      </c>
      <c r="BT467" t="str">
        <f>HYPERLINK("https%3A%2F%2Fwww.webofscience.com%2Fwos%2Fwoscc%2Ffull-record%2FWOS:000075268800014","View Full Record in Web of Science")</f>
        <v>View Full Record in Web of Science</v>
      </c>
    </row>
    <row r="468" spans="1:72" x14ac:dyDescent="0.15">
      <c r="A468" t="s">
        <v>72</v>
      </c>
      <c r="B468" t="s">
        <v>6537</v>
      </c>
      <c r="C468" t="s">
        <v>74</v>
      </c>
      <c r="D468" t="s">
        <v>74</v>
      </c>
      <c r="E468" t="s">
        <v>74</v>
      </c>
      <c r="F468" t="s">
        <v>6537</v>
      </c>
      <c r="G468" t="s">
        <v>74</v>
      </c>
      <c r="H468" t="s">
        <v>74</v>
      </c>
      <c r="I468" t="s">
        <v>6538</v>
      </c>
      <c r="J468" t="s">
        <v>1634</v>
      </c>
      <c r="K468" t="s">
        <v>74</v>
      </c>
      <c r="L468" t="s">
        <v>74</v>
      </c>
      <c r="M468" t="s">
        <v>77</v>
      </c>
      <c r="N468" t="s">
        <v>78</v>
      </c>
      <c r="O468" t="s">
        <v>74</v>
      </c>
      <c r="P468" t="s">
        <v>74</v>
      </c>
      <c r="Q468" t="s">
        <v>74</v>
      </c>
      <c r="R468" t="s">
        <v>74</v>
      </c>
      <c r="S468" t="s">
        <v>74</v>
      </c>
      <c r="T468" t="s">
        <v>6539</v>
      </c>
      <c r="U468" t="s">
        <v>6540</v>
      </c>
      <c r="V468" t="s">
        <v>6541</v>
      </c>
      <c r="W468" t="s">
        <v>6542</v>
      </c>
      <c r="X468" t="s">
        <v>6543</v>
      </c>
      <c r="Y468" t="s">
        <v>6544</v>
      </c>
      <c r="Z468" t="s">
        <v>6545</v>
      </c>
      <c r="AA468" t="s">
        <v>6546</v>
      </c>
      <c r="AB468" t="s">
        <v>6547</v>
      </c>
      <c r="AC468" t="s">
        <v>74</v>
      </c>
      <c r="AD468" t="s">
        <v>74</v>
      </c>
      <c r="AE468" t="s">
        <v>74</v>
      </c>
      <c r="AF468" t="s">
        <v>74</v>
      </c>
      <c r="AG468">
        <v>165</v>
      </c>
      <c r="AH468">
        <v>676</v>
      </c>
      <c r="AI468">
        <v>779</v>
      </c>
      <c r="AJ468">
        <v>6</v>
      </c>
      <c r="AK468">
        <v>173</v>
      </c>
      <c r="AL468" t="s">
        <v>1643</v>
      </c>
      <c r="AM468" t="s">
        <v>1644</v>
      </c>
      <c r="AN468" t="s">
        <v>1645</v>
      </c>
      <c r="AO468" t="s">
        <v>1646</v>
      </c>
      <c r="AP468" t="s">
        <v>74</v>
      </c>
      <c r="AQ468" t="s">
        <v>74</v>
      </c>
      <c r="AR468" t="s">
        <v>1647</v>
      </c>
      <c r="AS468" t="s">
        <v>1648</v>
      </c>
      <c r="AT468" t="s">
        <v>6139</v>
      </c>
      <c r="AU468">
        <v>1998</v>
      </c>
      <c r="AV468">
        <v>46</v>
      </c>
      <c r="AW468" t="s">
        <v>2597</v>
      </c>
      <c r="AX468" t="s">
        <v>74</v>
      </c>
      <c r="AY468" t="s">
        <v>74</v>
      </c>
      <c r="AZ468" t="s">
        <v>74</v>
      </c>
      <c r="BA468" t="s">
        <v>74</v>
      </c>
      <c r="BB468">
        <v>5</v>
      </c>
      <c r="BC468">
        <v>19</v>
      </c>
      <c r="BD468" t="s">
        <v>74</v>
      </c>
      <c r="BE468" t="s">
        <v>6548</v>
      </c>
      <c r="BF468" t="str">
        <f>HYPERLINK("http://dx.doi.org/10.1016/S1011-1344(98)00182-1","http://dx.doi.org/10.1016/S1011-1344(98)00182-1")</f>
        <v>http://dx.doi.org/10.1016/S1011-1344(98)00182-1</v>
      </c>
      <c r="BG468" t="s">
        <v>74</v>
      </c>
      <c r="BH468" t="s">
        <v>74</v>
      </c>
      <c r="BI468">
        <v>15</v>
      </c>
      <c r="BJ468" t="s">
        <v>1650</v>
      </c>
      <c r="BK468" t="s">
        <v>95</v>
      </c>
      <c r="BL468" t="s">
        <v>1650</v>
      </c>
      <c r="BM468" t="s">
        <v>6549</v>
      </c>
      <c r="BN468">
        <v>9894350</v>
      </c>
      <c r="BO468" t="s">
        <v>74</v>
      </c>
      <c r="BP468" t="s">
        <v>74</v>
      </c>
      <c r="BQ468" t="s">
        <v>74</v>
      </c>
      <c r="BR468" t="s">
        <v>98</v>
      </c>
      <c r="BS468" t="s">
        <v>6550</v>
      </c>
      <c r="BT468" t="str">
        <f>HYPERLINK("https%3A%2F%2Fwww.webofscience.com%2Fwos%2Fwoscc%2Ffull-record%2FWOS:000077997100003","View Full Record in Web of Science")</f>
        <v>View Full Record in Web of Science</v>
      </c>
    </row>
    <row r="469" spans="1:72" x14ac:dyDescent="0.15">
      <c r="A469" t="s">
        <v>72</v>
      </c>
      <c r="B469" t="s">
        <v>6551</v>
      </c>
      <c r="C469" t="s">
        <v>74</v>
      </c>
      <c r="D469" t="s">
        <v>74</v>
      </c>
      <c r="E469" t="s">
        <v>74</v>
      </c>
      <c r="F469" t="s">
        <v>6551</v>
      </c>
      <c r="G469" t="s">
        <v>74</v>
      </c>
      <c r="H469" t="s">
        <v>74</v>
      </c>
      <c r="I469" t="s">
        <v>6552</v>
      </c>
      <c r="J469" t="s">
        <v>1634</v>
      </c>
      <c r="K469" t="s">
        <v>74</v>
      </c>
      <c r="L469" t="s">
        <v>74</v>
      </c>
      <c r="M469" t="s">
        <v>77</v>
      </c>
      <c r="N469" t="s">
        <v>78</v>
      </c>
      <c r="O469" t="s">
        <v>74</v>
      </c>
      <c r="P469" t="s">
        <v>74</v>
      </c>
      <c r="Q469" t="s">
        <v>74</v>
      </c>
      <c r="R469" t="s">
        <v>74</v>
      </c>
      <c r="S469" t="s">
        <v>74</v>
      </c>
      <c r="T469" t="s">
        <v>6553</v>
      </c>
      <c r="U469" t="s">
        <v>6554</v>
      </c>
      <c r="V469" t="s">
        <v>6555</v>
      </c>
      <c r="W469" t="s">
        <v>6556</v>
      </c>
      <c r="X469" t="s">
        <v>6557</v>
      </c>
      <c r="Y469" t="s">
        <v>4388</v>
      </c>
      <c r="Z469" t="s">
        <v>4389</v>
      </c>
      <c r="AA469" t="s">
        <v>6558</v>
      </c>
      <c r="AB469" t="s">
        <v>6559</v>
      </c>
      <c r="AC469" t="s">
        <v>74</v>
      </c>
      <c r="AD469" t="s">
        <v>74</v>
      </c>
      <c r="AE469" t="s">
        <v>74</v>
      </c>
      <c r="AF469" t="s">
        <v>74</v>
      </c>
      <c r="AG469">
        <v>183</v>
      </c>
      <c r="AH469">
        <v>272</v>
      </c>
      <c r="AI469">
        <v>322</v>
      </c>
      <c r="AJ469">
        <v>21</v>
      </c>
      <c r="AK469">
        <v>1140</v>
      </c>
      <c r="AL469" t="s">
        <v>1643</v>
      </c>
      <c r="AM469" t="s">
        <v>1644</v>
      </c>
      <c r="AN469" t="s">
        <v>1645</v>
      </c>
      <c r="AO469" t="s">
        <v>1646</v>
      </c>
      <c r="AP469" t="s">
        <v>74</v>
      </c>
      <c r="AQ469" t="s">
        <v>74</v>
      </c>
      <c r="AR469" t="s">
        <v>1647</v>
      </c>
      <c r="AS469" t="s">
        <v>1648</v>
      </c>
      <c r="AT469" t="s">
        <v>6139</v>
      </c>
      <c r="AU469">
        <v>1998</v>
      </c>
      <c r="AV469">
        <v>46</v>
      </c>
      <c r="AW469" t="s">
        <v>2597</v>
      </c>
      <c r="AX469" t="s">
        <v>74</v>
      </c>
      <c r="AY469" t="s">
        <v>74</v>
      </c>
      <c r="AZ469" t="s">
        <v>74</v>
      </c>
      <c r="BA469" t="s">
        <v>74</v>
      </c>
      <c r="BB469">
        <v>53</v>
      </c>
      <c r="BC469">
        <v>68</v>
      </c>
      <c r="BD469" t="s">
        <v>74</v>
      </c>
      <c r="BE469" t="s">
        <v>6560</v>
      </c>
      <c r="BF469" t="str">
        <f>HYPERLINK("http://dx.doi.org/10.1016/S1011-1344(98)00185-7","http://dx.doi.org/10.1016/S1011-1344(98)00185-7")</f>
        <v>http://dx.doi.org/10.1016/S1011-1344(98)00185-7</v>
      </c>
      <c r="BG469" t="s">
        <v>74</v>
      </c>
      <c r="BH469" t="s">
        <v>74</v>
      </c>
      <c r="BI469">
        <v>16</v>
      </c>
      <c r="BJ469" t="s">
        <v>1650</v>
      </c>
      <c r="BK469" t="s">
        <v>95</v>
      </c>
      <c r="BL469" t="s">
        <v>1650</v>
      </c>
      <c r="BM469" t="s">
        <v>6549</v>
      </c>
      <c r="BN469" t="s">
        <v>74</v>
      </c>
      <c r="BO469" t="s">
        <v>6561</v>
      </c>
      <c r="BP469" t="s">
        <v>74</v>
      </c>
      <c r="BQ469" t="s">
        <v>74</v>
      </c>
      <c r="BR469" t="s">
        <v>98</v>
      </c>
      <c r="BS469" t="s">
        <v>6562</v>
      </c>
      <c r="BT469" t="str">
        <f>HYPERLINK("https%3A%2F%2Fwww.webofscience.com%2Fwos%2Fwoscc%2Ffull-record%2FWOS:000077997100006","View Full Record in Web of Science")</f>
        <v>View Full Record in Web of Science</v>
      </c>
    </row>
    <row r="470" spans="1:72" x14ac:dyDescent="0.15">
      <c r="A470" t="s">
        <v>72</v>
      </c>
      <c r="B470" t="s">
        <v>6563</v>
      </c>
      <c r="C470" t="s">
        <v>74</v>
      </c>
      <c r="D470" t="s">
        <v>74</v>
      </c>
      <c r="E470" t="s">
        <v>74</v>
      </c>
      <c r="F470" t="s">
        <v>6563</v>
      </c>
      <c r="G470" t="s">
        <v>74</v>
      </c>
      <c r="H470" t="s">
        <v>74</v>
      </c>
      <c r="I470" t="s">
        <v>6564</v>
      </c>
      <c r="J470" t="s">
        <v>4397</v>
      </c>
      <c r="K470" t="s">
        <v>74</v>
      </c>
      <c r="L470" t="s">
        <v>74</v>
      </c>
      <c r="M470" t="s">
        <v>77</v>
      </c>
      <c r="N470" t="s">
        <v>103</v>
      </c>
      <c r="O470" t="s">
        <v>74</v>
      </c>
      <c r="P470" t="s">
        <v>74</v>
      </c>
      <c r="Q470" t="s">
        <v>74</v>
      </c>
      <c r="R470" t="s">
        <v>74</v>
      </c>
      <c r="S470" t="s">
        <v>74</v>
      </c>
      <c r="T470" t="s">
        <v>6565</v>
      </c>
      <c r="U470" t="s">
        <v>6566</v>
      </c>
      <c r="V470" t="s">
        <v>6567</v>
      </c>
      <c r="W470" t="s">
        <v>6568</v>
      </c>
      <c r="X470" t="s">
        <v>6569</v>
      </c>
      <c r="Y470" t="s">
        <v>6570</v>
      </c>
      <c r="Z470" t="s">
        <v>6571</v>
      </c>
      <c r="AA470" t="s">
        <v>1921</v>
      </c>
      <c r="AB470" t="s">
        <v>6572</v>
      </c>
      <c r="AC470" t="s">
        <v>74</v>
      </c>
      <c r="AD470" t="s">
        <v>74</v>
      </c>
      <c r="AE470" t="s">
        <v>74</v>
      </c>
      <c r="AF470" t="s">
        <v>74</v>
      </c>
      <c r="AG470">
        <v>49</v>
      </c>
      <c r="AH470">
        <v>33</v>
      </c>
      <c r="AI470">
        <v>36</v>
      </c>
      <c r="AJ470">
        <v>0</v>
      </c>
      <c r="AK470">
        <v>17</v>
      </c>
      <c r="AL470" t="s">
        <v>655</v>
      </c>
      <c r="AM470" t="s">
        <v>656</v>
      </c>
      <c r="AN470" t="s">
        <v>657</v>
      </c>
      <c r="AO470" t="s">
        <v>4409</v>
      </c>
      <c r="AP470" t="s">
        <v>6573</v>
      </c>
      <c r="AQ470" t="s">
        <v>74</v>
      </c>
      <c r="AR470" t="s">
        <v>4410</v>
      </c>
      <c r="AS470" t="s">
        <v>4411</v>
      </c>
      <c r="AT470" t="s">
        <v>6139</v>
      </c>
      <c r="AU470">
        <v>1998</v>
      </c>
      <c r="AV470">
        <v>34</v>
      </c>
      <c r="AW470">
        <v>5</v>
      </c>
      <c r="AX470" t="s">
        <v>74</v>
      </c>
      <c r="AY470" t="s">
        <v>74</v>
      </c>
      <c r="AZ470" t="s">
        <v>74</v>
      </c>
      <c r="BA470" t="s">
        <v>74</v>
      </c>
      <c r="BB470">
        <v>788</v>
      </c>
      <c r="BC470">
        <v>797</v>
      </c>
      <c r="BD470" t="s">
        <v>74</v>
      </c>
      <c r="BE470" t="s">
        <v>6574</v>
      </c>
      <c r="BF470" t="str">
        <f>HYPERLINK("http://dx.doi.org/10.1046/j.1529-8817.1998.340788.x","http://dx.doi.org/10.1046/j.1529-8817.1998.340788.x")</f>
        <v>http://dx.doi.org/10.1046/j.1529-8817.1998.340788.x</v>
      </c>
      <c r="BG470" t="s">
        <v>74</v>
      </c>
      <c r="BH470" t="s">
        <v>74</v>
      </c>
      <c r="BI470">
        <v>10</v>
      </c>
      <c r="BJ470" t="s">
        <v>4413</v>
      </c>
      <c r="BK470" t="s">
        <v>95</v>
      </c>
      <c r="BL470" t="s">
        <v>4413</v>
      </c>
      <c r="BM470" t="s">
        <v>6575</v>
      </c>
      <c r="BN470" t="s">
        <v>74</v>
      </c>
      <c r="BO470" t="s">
        <v>74</v>
      </c>
      <c r="BP470" t="s">
        <v>74</v>
      </c>
      <c r="BQ470" t="s">
        <v>74</v>
      </c>
      <c r="BR470" t="s">
        <v>98</v>
      </c>
      <c r="BS470" t="s">
        <v>6576</v>
      </c>
      <c r="BT470" t="str">
        <f>HYPERLINK("https%3A%2F%2Fwww.webofscience.com%2Fwos%2Fwoscc%2Ffull-record%2FWOS:000076664600011","View Full Record in Web of Science")</f>
        <v>View Full Record in Web of Science</v>
      </c>
    </row>
    <row r="471" spans="1:72" x14ac:dyDescent="0.15">
      <c r="A471" t="s">
        <v>72</v>
      </c>
      <c r="B471" t="s">
        <v>6577</v>
      </c>
      <c r="C471" t="s">
        <v>74</v>
      </c>
      <c r="D471" t="s">
        <v>74</v>
      </c>
      <c r="E471" t="s">
        <v>74</v>
      </c>
      <c r="F471" t="s">
        <v>6577</v>
      </c>
      <c r="G471" t="s">
        <v>74</v>
      </c>
      <c r="H471" t="s">
        <v>74</v>
      </c>
      <c r="I471" t="s">
        <v>6578</v>
      </c>
      <c r="J471" t="s">
        <v>4418</v>
      </c>
      <c r="K471" t="s">
        <v>74</v>
      </c>
      <c r="L471" t="s">
        <v>74</v>
      </c>
      <c r="M471" t="s">
        <v>77</v>
      </c>
      <c r="N471" t="s">
        <v>103</v>
      </c>
      <c r="O471" t="s">
        <v>74</v>
      </c>
      <c r="P471" t="s">
        <v>74</v>
      </c>
      <c r="Q471" t="s">
        <v>74</v>
      </c>
      <c r="R471" t="s">
        <v>74</v>
      </c>
      <c r="S471" t="s">
        <v>74</v>
      </c>
      <c r="T471" t="s">
        <v>74</v>
      </c>
      <c r="U471" t="s">
        <v>6579</v>
      </c>
      <c r="V471" t="s">
        <v>6580</v>
      </c>
      <c r="W471" t="s">
        <v>6581</v>
      </c>
      <c r="X471" t="s">
        <v>6582</v>
      </c>
      <c r="Y471" t="s">
        <v>6583</v>
      </c>
      <c r="Z471" t="s">
        <v>6584</v>
      </c>
      <c r="AA471" t="s">
        <v>6585</v>
      </c>
      <c r="AB471" t="s">
        <v>6586</v>
      </c>
      <c r="AC471" t="s">
        <v>74</v>
      </c>
      <c r="AD471" t="s">
        <v>74</v>
      </c>
      <c r="AE471" t="s">
        <v>74</v>
      </c>
      <c r="AF471" t="s">
        <v>74</v>
      </c>
      <c r="AG471">
        <v>34</v>
      </c>
      <c r="AH471">
        <v>203</v>
      </c>
      <c r="AI471">
        <v>220</v>
      </c>
      <c r="AJ471">
        <v>0</v>
      </c>
      <c r="AK471">
        <v>21</v>
      </c>
      <c r="AL471" t="s">
        <v>1344</v>
      </c>
      <c r="AM471" t="s">
        <v>1345</v>
      </c>
      <c r="AN471" t="s">
        <v>1346</v>
      </c>
      <c r="AO471" t="s">
        <v>4423</v>
      </c>
      <c r="AP471" t="s">
        <v>6587</v>
      </c>
      <c r="AQ471" t="s">
        <v>74</v>
      </c>
      <c r="AR471" t="s">
        <v>4424</v>
      </c>
      <c r="AS471" t="s">
        <v>4425</v>
      </c>
      <c r="AT471" t="s">
        <v>6139</v>
      </c>
      <c r="AU471">
        <v>1998</v>
      </c>
      <c r="AV471">
        <v>28</v>
      </c>
      <c r="AW471">
        <v>10</v>
      </c>
      <c r="AX471" t="s">
        <v>74</v>
      </c>
      <c r="AY471" t="s">
        <v>74</v>
      </c>
      <c r="AZ471" t="s">
        <v>74</v>
      </c>
      <c r="BA471" t="s">
        <v>74</v>
      </c>
      <c r="BB471">
        <v>1929</v>
      </c>
      <c r="BC471">
        <v>1945</v>
      </c>
      <c r="BD471" t="s">
        <v>74</v>
      </c>
      <c r="BE471" t="s">
        <v>6588</v>
      </c>
      <c r="BF471" t="str">
        <f>HYPERLINK("http://dx.doi.org/10.1175/1520-0485(1998)028&lt;1929:MITRFZ&gt;2.0.CO;2","http://dx.doi.org/10.1175/1520-0485(1998)028&lt;1929:MITRFZ&gt;2.0.CO;2")</f>
        <v>http://dx.doi.org/10.1175/1520-0485(1998)028&lt;1929:MITRFZ&gt;2.0.CO;2</v>
      </c>
      <c r="BG471" t="s">
        <v>74</v>
      </c>
      <c r="BH471" t="s">
        <v>74</v>
      </c>
      <c r="BI471">
        <v>17</v>
      </c>
      <c r="BJ471" t="s">
        <v>451</v>
      </c>
      <c r="BK471" t="s">
        <v>95</v>
      </c>
      <c r="BL471" t="s">
        <v>451</v>
      </c>
      <c r="BM471" t="s">
        <v>6589</v>
      </c>
      <c r="BN471" t="s">
        <v>74</v>
      </c>
      <c r="BO471" t="s">
        <v>986</v>
      </c>
      <c r="BP471" t="s">
        <v>74</v>
      </c>
      <c r="BQ471" t="s">
        <v>74</v>
      </c>
      <c r="BR471" t="s">
        <v>98</v>
      </c>
      <c r="BS471" t="s">
        <v>6590</v>
      </c>
      <c r="BT471" t="str">
        <f>HYPERLINK("https%3A%2F%2Fwww.webofscience.com%2Fwos%2Fwoscc%2Ffull-record%2FWOS:000076634200004","View Full Record in Web of Science")</f>
        <v>View Full Record in Web of Science</v>
      </c>
    </row>
    <row r="472" spans="1:72" x14ac:dyDescent="0.15">
      <c r="A472" t="s">
        <v>72</v>
      </c>
      <c r="B472" t="s">
        <v>6591</v>
      </c>
      <c r="C472" t="s">
        <v>74</v>
      </c>
      <c r="D472" t="s">
        <v>74</v>
      </c>
      <c r="E472" t="s">
        <v>74</v>
      </c>
      <c r="F472" t="s">
        <v>6591</v>
      </c>
      <c r="G472" t="s">
        <v>74</v>
      </c>
      <c r="H472" t="s">
        <v>74</v>
      </c>
      <c r="I472" t="s">
        <v>6592</v>
      </c>
      <c r="J472" t="s">
        <v>4418</v>
      </c>
      <c r="K472" t="s">
        <v>74</v>
      </c>
      <c r="L472" t="s">
        <v>74</v>
      </c>
      <c r="M472" t="s">
        <v>77</v>
      </c>
      <c r="N472" t="s">
        <v>103</v>
      </c>
      <c r="O472" t="s">
        <v>74</v>
      </c>
      <c r="P472" t="s">
        <v>74</v>
      </c>
      <c r="Q472" t="s">
        <v>74</v>
      </c>
      <c r="R472" t="s">
        <v>74</v>
      </c>
      <c r="S472" t="s">
        <v>74</v>
      </c>
      <c r="T472" t="s">
        <v>74</v>
      </c>
      <c r="U472" t="s">
        <v>6593</v>
      </c>
      <c r="V472" t="s">
        <v>6594</v>
      </c>
      <c r="W472" t="s">
        <v>3313</v>
      </c>
      <c r="X472" t="s">
        <v>1500</v>
      </c>
      <c r="Y472" t="s">
        <v>6595</v>
      </c>
      <c r="Z472" t="s">
        <v>6596</v>
      </c>
      <c r="AA472" t="s">
        <v>74</v>
      </c>
      <c r="AB472" t="s">
        <v>6597</v>
      </c>
      <c r="AC472" t="s">
        <v>74</v>
      </c>
      <c r="AD472" t="s">
        <v>74</v>
      </c>
      <c r="AE472" t="s">
        <v>74</v>
      </c>
      <c r="AF472" t="s">
        <v>74</v>
      </c>
      <c r="AG472">
        <v>68</v>
      </c>
      <c r="AH472">
        <v>32</v>
      </c>
      <c r="AI472">
        <v>32</v>
      </c>
      <c r="AJ472">
        <v>0</v>
      </c>
      <c r="AK472">
        <v>12</v>
      </c>
      <c r="AL472" t="s">
        <v>1344</v>
      </c>
      <c r="AM472" t="s">
        <v>1345</v>
      </c>
      <c r="AN472" t="s">
        <v>1346</v>
      </c>
      <c r="AO472" t="s">
        <v>4423</v>
      </c>
      <c r="AP472" t="s">
        <v>74</v>
      </c>
      <c r="AQ472" t="s">
        <v>74</v>
      </c>
      <c r="AR472" t="s">
        <v>4424</v>
      </c>
      <c r="AS472" t="s">
        <v>4425</v>
      </c>
      <c r="AT472" t="s">
        <v>6139</v>
      </c>
      <c r="AU472">
        <v>1998</v>
      </c>
      <c r="AV472">
        <v>28</v>
      </c>
      <c r="AW472">
        <v>10</v>
      </c>
      <c r="AX472" t="s">
        <v>74</v>
      </c>
      <c r="AY472" t="s">
        <v>74</v>
      </c>
      <c r="AZ472" t="s">
        <v>74</v>
      </c>
      <c r="BA472" t="s">
        <v>74</v>
      </c>
      <c r="BB472">
        <v>1961</v>
      </c>
      <c r="BC472">
        <v>1978</v>
      </c>
      <c r="BD472" t="s">
        <v>74</v>
      </c>
      <c r="BE472" t="s">
        <v>6598</v>
      </c>
      <c r="BF472" t="str">
        <f>HYPERLINK("http://dx.doi.org/10.1175/1520-0485(1998)028&lt;1961:HABBAM&gt;2.0.CO;2","http://dx.doi.org/10.1175/1520-0485(1998)028&lt;1961:HABBAM&gt;2.0.CO;2")</f>
        <v>http://dx.doi.org/10.1175/1520-0485(1998)028&lt;1961:HABBAM&gt;2.0.CO;2</v>
      </c>
      <c r="BG472" t="s">
        <v>74</v>
      </c>
      <c r="BH472" t="s">
        <v>74</v>
      </c>
      <c r="BI472">
        <v>18</v>
      </c>
      <c r="BJ472" t="s">
        <v>451</v>
      </c>
      <c r="BK472" t="s">
        <v>95</v>
      </c>
      <c r="BL472" t="s">
        <v>451</v>
      </c>
      <c r="BM472" t="s">
        <v>6589</v>
      </c>
      <c r="BN472" t="s">
        <v>74</v>
      </c>
      <c r="BO472" t="s">
        <v>1089</v>
      </c>
      <c r="BP472" t="s">
        <v>74</v>
      </c>
      <c r="BQ472" t="s">
        <v>74</v>
      </c>
      <c r="BR472" t="s">
        <v>98</v>
      </c>
      <c r="BS472" t="s">
        <v>6599</v>
      </c>
      <c r="BT472" t="str">
        <f>HYPERLINK("https%3A%2F%2Fwww.webofscience.com%2Fwos%2Fwoscc%2Ffull-record%2FWOS:000076634200006","View Full Record in Web of Science")</f>
        <v>View Full Record in Web of Science</v>
      </c>
    </row>
    <row r="473" spans="1:72" x14ac:dyDescent="0.15">
      <c r="A473" t="s">
        <v>72</v>
      </c>
      <c r="B473" t="s">
        <v>6600</v>
      </c>
      <c r="C473" t="s">
        <v>74</v>
      </c>
      <c r="D473" t="s">
        <v>74</v>
      </c>
      <c r="E473" t="s">
        <v>74</v>
      </c>
      <c r="F473" t="s">
        <v>6600</v>
      </c>
      <c r="G473" t="s">
        <v>74</v>
      </c>
      <c r="H473" t="s">
        <v>74</v>
      </c>
      <c r="I473" t="s">
        <v>6601</v>
      </c>
      <c r="J473" t="s">
        <v>4418</v>
      </c>
      <c r="K473" t="s">
        <v>74</v>
      </c>
      <c r="L473" t="s">
        <v>74</v>
      </c>
      <c r="M473" t="s">
        <v>77</v>
      </c>
      <c r="N473" t="s">
        <v>103</v>
      </c>
      <c r="O473" t="s">
        <v>74</v>
      </c>
      <c r="P473" t="s">
        <v>74</v>
      </c>
      <c r="Q473" t="s">
        <v>74</v>
      </c>
      <c r="R473" t="s">
        <v>74</v>
      </c>
      <c r="S473" t="s">
        <v>74</v>
      </c>
      <c r="T473" t="s">
        <v>74</v>
      </c>
      <c r="U473" t="s">
        <v>6602</v>
      </c>
      <c r="V473" t="s">
        <v>6603</v>
      </c>
      <c r="W473" t="s">
        <v>6604</v>
      </c>
      <c r="X473" t="s">
        <v>6605</v>
      </c>
      <c r="Y473" t="s">
        <v>6606</v>
      </c>
      <c r="Z473" t="s">
        <v>6607</v>
      </c>
      <c r="AA473" t="s">
        <v>6608</v>
      </c>
      <c r="AB473" t="s">
        <v>6609</v>
      </c>
      <c r="AC473" t="s">
        <v>74</v>
      </c>
      <c r="AD473" t="s">
        <v>74</v>
      </c>
      <c r="AE473" t="s">
        <v>74</v>
      </c>
      <c r="AF473" t="s">
        <v>74</v>
      </c>
      <c r="AG473">
        <v>68</v>
      </c>
      <c r="AH473">
        <v>41</v>
      </c>
      <c r="AI473">
        <v>43</v>
      </c>
      <c r="AJ473">
        <v>0</v>
      </c>
      <c r="AK473">
        <v>6</v>
      </c>
      <c r="AL473" t="s">
        <v>1344</v>
      </c>
      <c r="AM473" t="s">
        <v>1345</v>
      </c>
      <c r="AN473" t="s">
        <v>1346</v>
      </c>
      <c r="AO473" t="s">
        <v>4423</v>
      </c>
      <c r="AP473" t="s">
        <v>6587</v>
      </c>
      <c r="AQ473" t="s">
        <v>74</v>
      </c>
      <c r="AR473" t="s">
        <v>4424</v>
      </c>
      <c r="AS473" t="s">
        <v>4425</v>
      </c>
      <c r="AT473" t="s">
        <v>6139</v>
      </c>
      <c r="AU473">
        <v>1998</v>
      </c>
      <c r="AV473">
        <v>28</v>
      </c>
      <c r="AW473">
        <v>10</v>
      </c>
      <c r="AX473" t="s">
        <v>74</v>
      </c>
      <c r="AY473" t="s">
        <v>74</v>
      </c>
      <c r="AZ473" t="s">
        <v>74</v>
      </c>
      <c r="BA473" t="s">
        <v>74</v>
      </c>
      <c r="BB473">
        <v>1999</v>
      </c>
      <c r="BC473">
        <v>2018</v>
      </c>
      <c r="BD473" t="s">
        <v>74</v>
      </c>
      <c r="BE473" t="s">
        <v>6610</v>
      </c>
      <c r="BF473" t="str">
        <f>HYPERLINK("http://dx.doi.org/10.1175/1520-0485(1998)028&lt;1999:TIOSOS&gt;2.0.CO;2","http://dx.doi.org/10.1175/1520-0485(1998)028&lt;1999:TIOSOS&gt;2.0.CO;2")</f>
        <v>http://dx.doi.org/10.1175/1520-0485(1998)028&lt;1999:TIOSOS&gt;2.0.CO;2</v>
      </c>
      <c r="BG473" t="s">
        <v>74</v>
      </c>
      <c r="BH473" t="s">
        <v>74</v>
      </c>
      <c r="BI473">
        <v>20</v>
      </c>
      <c r="BJ473" t="s">
        <v>451</v>
      </c>
      <c r="BK473" t="s">
        <v>95</v>
      </c>
      <c r="BL473" t="s">
        <v>451</v>
      </c>
      <c r="BM473" t="s">
        <v>6589</v>
      </c>
      <c r="BN473" t="s">
        <v>74</v>
      </c>
      <c r="BO473" t="s">
        <v>1089</v>
      </c>
      <c r="BP473" t="s">
        <v>74</v>
      </c>
      <c r="BQ473" t="s">
        <v>74</v>
      </c>
      <c r="BR473" t="s">
        <v>98</v>
      </c>
      <c r="BS473" t="s">
        <v>6611</v>
      </c>
      <c r="BT473" t="str">
        <f>HYPERLINK("https%3A%2F%2Fwww.webofscience.com%2Fwos%2Fwoscc%2Ffull-record%2FWOS:000076634200008","View Full Record in Web of Science")</f>
        <v>View Full Record in Web of Science</v>
      </c>
    </row>
    <row r="474" spans="1:72" x14ac:dyDescent="0.15">
      <c r="A474" t="s">
        <v>72</v>
      </c>
      <c r="B474" t="s">
        <v>6612</v>
      </c>
      <c r="C474" t="s">
        <v>74</v>
      </c>
      <c r="D474" t="s">
        <v>74</v>
      </c>
      <c r="E474" t="s">
        <v>74</v>
      </c>
      <c r="F474" t="s">
        <v>6612</v>
      </c>
      <c r="G474" t="s">
        <v>74</v>
      </c>
      <c r="H474" t="s">
        <v>74</v>
      </c>
      <c r="I474" t="s">
        <v>6613</v>
      </c>
      <c r="J474" t="s">
        <v>4418</v>
      </c>
      <c r="K474" t="s">
        <v>74</v>
      </c>
      <c r="L474" t="s">
        <v>74</v>
      </c>
      <c r="M474" t="s">
        <v>77</v>
      </c>
      <c r="N474" t="s">
        <v>103</v>
      </c>
      <c r="O474" t="s">
        <v>74</v>
      </c>
      <c r="P474" t="s">
        <v>74</v>
      </c>
      <c r="Q474" t="s">
        <v>74</v>
      </c>
      <c r="R474" t="s">
        <v>74</v>
      </c>
      <c r="S474" t="s">
        <v>74</v>
      </c>
      <c r="T474" t="s">
        <v>74</v>
      </c>
      <c r="U474" t="s">
        <v>6614</v>
      </c>
      <c r="V474" t="s">
        <v>6615</v>
      </c>
      <c r="W474" t="s">
        <v>6616</v>
      </c>
      <c r="X474" t="s">
        <v>6617</v>
      </c>
      <c r="Y474" t="s">
        <v>6618</v>
      </c>
      <c r="Z474" t="s">
        <v>6619</v>
      </c>
      <c r="AA474" t="s">
        <v>74</v>
      </c>
      <c r="AB474" t="s">
        <v>74</v>
      </c>
      <c r="AC474" t="s">
        <v>74</v>
      </c>
      <c r="AD474" t="s">
        <v>74</v>
      </c>
      <c r="AE474" t="s">
        <v>74</v>
      </c>
      <c r="AF474" t="s">
        <v>74</v>
      </c>
      <c r="AG474">
        <v>57</v>
      </c>
      <c r="AH474">
        <v>18</v>
      </c>
      <c r="AI474">
        <v>21</v>
      </c>
      <c r="AJ474">
        <v>2</v>
      </c>
      <c r="AK474">
        <v>14</v>
      </c>
      <c r="AL474" t="s">
        <v>1344</v>
      </c>
      <c r="AM474" t="s">
        <v>1345</v>
      </c>
      <c r="AN474" t="s">
        <v>1346</v>
      </c>
      <c r="AO474" t="s">
        <v>4423</v>
      </c>
      <c r="AP474" t="s">
        <v>6587</v>
      </c>
      <c r="AQ474" t="s">
        <v>74</v>
      </c>
      <c r="AR474" t="s">
        <v>4424</v>
      </c>
      <c r="AS474" t="s">
        <v>4425</v>
      </c>
      <c r="AT474" t="s">
        <v>6139</v>
      </c>
      <c r="AU474">
        <v>1998</v>
      </c>
      <c r="AV474">
        <v>28</v>
      </c>
      <c r="AW474">
        <v>10</v>
      </c>
      <c r="AX474" t="s">
        <v>74</v>
      </c>
      <c r="AY474" t="s">
        <v>74</v>
      </c>
      <c r="AZ474" t="s">
        <v>74</v>
      </c>
      <c r="BA474" t="s">
        <v>74</v>
      </c>
      <c r="BB474">
        <v>2019</v>
      </c>
      <c r="BC474">
        <v>2039</v>
      </c>
      <c r="BD474" t="s">
        <v>74</v>
      </c>
      <c r="BE474" t="s">
        <v>6620</v>
      </c>
      <c r="BF474" t="str">
        <f>HYPERLINK("http://dx.doi.org/10.1175/1520-0485(1998)028&lt;2019:EMFIIZ&gt;2.0.CO;2","http://dx.doi.org/10.1175/1520-0485(1998)028&lt;2019:EMFIIZ&gt;2.0.CO;2")</f>
        <v>http://dx.doi.org/10.1175/1520-0485(1998)028&lt;2019:EMFIIZ&gt;2.0.CO;2</v>
      </c>
      <c r="BG474" t="s">
        <v>74</v>
      </c>
      <c r="BH474" t="s">
        <v>74</v>
      </c>
      <c r="BI474">
        <v>21</v>
      </c>
      <c r="BJ474" t="s">
        <v>451</v>
      </c>
      <c r="BK474" t="s">
        <v>95</v>
      </c>
      <c r="BL474" t="s">
        <v>451</v>
      </c>
      <c r="BM474" t="s">
        <v>6589</v>
      </c>
      <c r="BN474" t="s">
        <v>74</v>
      </c>
      <c r="BO474" t="s">
        <v>1089</v>
      </c>
      <c r="BP474" t="s">
        <v>74</v>
      </c>
      <c r="BQ474" t="s">
        <v>74</v>
      </c>
      <c r="BR474" t="s">
        <v>98</v>
      </c>
      <c r="BS474" t="s">
        <v>6621</v>
      </c>
      <c r="BT474" t="str">
        <f>HYPERLINK("https%3A%2F%2Fwww.webofscience.com%2Fwos%2Fwoscc%2Ffull-record%2FWOS:000076634200009","View Full Record in Web of Science")</f>
        <v>View Full Record in Web of Science</v>
      </c>
    </row>
    <row r="475" spans="1:72" x14ac:dyDescent="0.15">
      <c r="A475" t="s">
        <v>72</v>
      </c>
      <c r="B475" t="s">
        <v>6622</v>
      </c>
      <c r="C475" t="s">
        <v>74</v>
      </c>
      <c r="D475" t="s">
        <v>74</v>
      </c>
      <c r="E475" t="s">
        <v>74</v>
      </c>
      <c r="F475" t="s">
        <v>6622</v>
      </c>
      <c r="G475" t="s">
        <v>74</v>
      </c>
      <c r="H475" t="s">
        <v>74</v>
      </c>
      <c r="I475" t="s">
        <v>6623</v>
      </c>
      <c r="J475" t="s">
        <v>6624</v>
      </c>
      <c r="K475" t="s">
        <v>74</v>
      </c>
      <c r="L475" t="s">
        <v>74</v>
      </c>
      <c r="M475" t="s">
        <v>77</v>
      </c>
      <c r="N475" t="s">
        <v>103</v>
      </c>
      <c r="O475" t="s">
        <v>74</v>
      </c>
      <c r="P475" t="s">
        <v>74</v>
      </c>
      <c r="Q475" t="s">
        <v>74</v>
      </c>
      <c r="R475" t="s">
        <v>74</v>
      </c>
      <c r="S475" t="s">
        <v>74</v>
      </c>
      <c r="T475" t="s">
        <v>74</v>
      </c>
      <c r="U475" t="s">
        <v>6625</v>
      </c>
      <c r="V475" t="s">
        <v>6626</v>
      </c>
      <c r="W475" t="s">
        <v>6627</v>
      </c>
      <c r="X475" t="s">
        <v>6628</v>
      </c>
      <c r="Y475" t="s">
        <v>6629</v>
      </c>
      <c r="Z475" t="s">
        <v>74</v>
      </c>
      <c r="AA475" t="s">
        <v>74</v>
      </c>
      <c r="AB475" t="s">
        <v>74</v>
      </c>
      <c r="AC475" t="s">
        <v>74</v>
      </c>
      <c r="AD475" t="s">
        <v>74</v>
      </c>
      <c r="AE475" t="s">
        <v>74</v>
      </c>
      <c r="AF475" t="s">
        <v>74</v>
      </c>
      <c r="AG475">
        <v>50</v>
      </c>
      <c r="AH475">
        <v>21</v>
      </c>
      <c r="AI475">
        <v>22</v>
      </c>
      <c r="AJ475">
        <v>0</v>
      </c>
      <c r="AK475">
        <v>3</v>
      </c>
      <c r="AL475" t="s">
        <v>3646</v>
      </c>
      <c r="AM475" t="s">
        <v>3647</v>
      </c>
      <c r="AN475" t="s">
        <v>3648</v>
      </c>
      <c r="AO475" t="s">
        <v>6630</v>
      </c>
      <c r="AP475" t="s">
        <v>74</v>
      </c>
      <c r="AQ475" t="s">
        <v>74</v>
      </c>
      <c r="AR475" t="s">
        <v>6631</v>
      </c>
      <c r="AS475" t="s">
        <v>6632</v>
      </c>
      <c r="AT475" t="s">
        <v>6139</v>
      </c>
      <c r="AU475">
        <v>1998</v>
      </c>
      <c r="AV475">
        <v>104</v>
      </c>
      <c r="AW475">
        <v>4</v>
      </c>
      <c r="AX475" t="s">
        <v>74</v>
      </c>
      <c r="AY475" t="s">
        <v>74</v>
      </c>
      <c r="AZ475" t="s">
        <v>74</v>
      </c>
      <c r="BA475" t="s">
        <v>74</v>
      </c>
      <c r="BB475">
        <v>2121</v>
      </c>
      <c r="BC475">
        <v>2135</v>
      </c>
      <c r="BD475" t="s">
        <v>74</v>
      </c>
      <c r="BE475" t="s">
        <v>74</v>
      </c>
      <c r="BF475" t="s">
        <v>74</v>
      </c>
      <c r="BG475" t="s">
        <v>74</v>
      </c>
      <c r="BH475" t="s">
        <v>74</v>
      </c>
      <c r="BI475">
        <v>15</v>
      </c>
      <c r="BJ475" t="s">
        <v>6633</v>
      </c>
      <c r="BK475" t="s">
        <v>95</v>
      </c>
      <c r="BL475" t="s">
        <v>6633</v>
      </c>
      <c r="BM475" t="s">
        <v>6634</v>
      </c>
      <c r="BN475" t="s">
        <v>74</v>
      </c>
      <c r="BO475" t="s">
        <v>1005</v>
      </c>
      <c r="BP475" t="s">
        <v>74</v>
      </c>
      <c r="BQ475" t="s">
        <v>74</v>
      </c>
      <c r="BR475" t="s">
        <v>98</v>
      </c>
      <c r="BS475" t="s">
        <v>6635</v>
      </c>
      <c r="BT475" t="str">
        <f>HYPERLINK("https%3A%2F%2Fwww.webofscience.com%2Fwos%2Fwoscc%2Ffull-record%2FWOS:000076374400024","View Full Record in Web of Science")</f>
        <v>View Full Record in Web of Science</v>
      </c>
    </row>
    <row r="476" spans="1:72" x14ac:dyDescent="0.15">
      <c r="A476" t="s">
        <v>72</v>
      </c>
      <c r="B476" t="s">
        <v>6636</v>
      </c>
      <c r="C476" t="s">
        <v>74</v>
      </c>
      <c r="D476" t="s">
        <v>74</v>
      </c>
      <c r="E476" t="s">
        <v>74</v>
      </c>
      <c r="F476" t="s">
        <v>6636</v>
      </c>
      <c r="G476" t="s">
        <v>74</v>
      </c>
      <c r="H476" t="s">
        <v>74</v>
      </c>
      <c r="I476" t="s">
        <v>6637</v>
      </c>
      <c r="J476" t="s">
        <v>6638</v>
      </c>
      <c r="K476" t="s">
        <v>74</v>
      </c>
      <c r="L476" t="s">
        <v>74</v>
      </c>
      <c r="M476" t="s">
        <v>77</v>
      </c>
      <c r="N476" t="s">
        <v>103</v>
      </c>
      <c r="O476" t="s">
        <v>74</v>
      </c>
      <c r="P476" t="s">
        <v>74</v>
      </c>
      <c r="Q476" t="s">
        <v>74</v>
      </c>
      <c r="R476" t="s">
        <v>74</v>
      </c>
      <c r="S476" t="s">
        <v>74</v>
      </c>
      <c r="T476" t="s">
        <v>6639</v>
      </c>
      <c r="U476" t="s">
        <v>6640</v>
      </c>
      <c r="V476" t="s">
        <v>6641</v>
      </c>
      <c r="W476" t="s">
        <v>6642</v>
      </c>
      <c r="X476" t="s">
        <v>6643</v>
      </c>
      <c r="Y476" t="s">
        <v>6644</v>
      </c>
      <c r="Z476" t="s">
        <v>74</v>
      </c>
      <c r="AA476" t="s">
        <v>74</v>
      </c>
      <c r="AB476" t="s">
        <v>74</v>
      </c>
      <c r="AC476" t="s">
        <v>74</v>
      </c>
      <c r="AD476" t="s">
        <v>74</v>
      </c>
      <c r="AE476" t="s">
        <v>74</v>
      </c>
      <c r="AF476" t="s">
        <v>74</v>
      </c>
      <c r="AG476">
        <v>26</v>
      </c>
      <c r="AH476">
        <v>11</v>
      </c>
      <c r="AI476">
        <v>11</v>
      </c>
      <c r="AJ476">
        <v>0</v>
      </c>
      <c r="AK476">
        <v>1</v>
      </c>
      <c r="AL476" t="s">
        <v>445</v>
      </c>
      <c r="AM476" t="s">
        <v>229</v>
      </c>
      <c r="AN476" t="s">
        <v>446</v>
      </c>
      <c r="AO476" t="s">
        <v>6645</v>
      </c>
      <c r="AP476" t="s">
        <v>74</v>
      </c>
      <c r="AQ476" t="s">
        <v>74</v>
      </c>
      <c r="AR476" t="s">
        <v>6646</v>
      </c>
      <c r="AS476" t="s">
        <v>6647</v>
      </c>
      <c r="AT476" t="s">
        <v>6139</v>
      </c>
      <c r="AU476">
        <v>1998</v>
      </c>
      <c r="AV476">
        <v>23</v>
      </c>
      <c r="AW476">
        <v>5</v>
      </c>
      <c r="AX476" t="s">
        <v>74</v>
      </c>
      <c r="AY476" t="s">
        <v>74</v>
      </c>
      <c r="AZ476" t="s">
        <v>74</v>
      </c>
      <c r="BA476" t="s">
        <v>74</v>
      </c>
      <c r="BB476">
        <v>275</v>
      </c>
      <c r="BC476">
        <v>282</v>
      </c>
      <c r="BD476" t="s">
        <v>74</v>
      </c>
      <c r="BE476" t="s">
        <v>6648</v>
      </c>
      <c r="BF476" t="str">
        <f>HYPERLINK("http://dx.doi.org/10.1016/S0306-4565(98)00016-3","http://dx.doi.org/10.1016/S0306-4565(98)00016-3")</f>
        <v>http://dx.doi.org/10.1016/S0306-4565(98)00016-3</v>
      </c>
      <c r="BG476" t="s">
        <v>74</v>
      </c>
      <c r="BH476" t="s">
        <v>74</v>
      </c>
      <c r="BI476">
        <v>8</v>
      </c>
      <c r="BJ476" t="s">
        <v>6649</v>
      </c>
      <c r="BK476" t="s">
        <v>95</v>
      </c>
      <c r="BL476" t="s">
        <v>6650</v>
      </c>
      <c r="BM476" t="s">
        <v>6651</v>
      </c>
      <c r="BN476" t="s">
        <v>74</v>
      </c>
      <c r="BO476" t="s">
        <v>74</v>
      </c>
      <c r="BP476" t="s">
        <v>74</v>
      </c>
      <c r="BQ476" t="s">
        <v>74</v>
      </c>
      <c r="BR476" t="s">
        <v>98</v>
      </c>
      <c r="BS476" t="s">
        <v>6652</v>
      </c>
      <c r="BT476" t="str">
        <f>HYPERLINK("https%3A%2F%2Fwww.webofscience.com%2Fwos%2Fwoscc%2Ffull-record%2FWOS:000076801000003","View Full Record in Web of Science")</f>
        <v>View Full Record in Web of Science</v>
      </c>
    </row>
    <row r="477" spans="1:72" x14ac:dyDescent="0.15">
      <c r="A477" t="s">
        <v>72</v>
      </c>
      <c r="B477" t="s">
        <v>6653</v>
      </c>
      <c r="C477" t="s">
        <v>74</v>
      </c>
      <c r="D477" t="s">
        <v>74</v>
      </c>
      <c r="E477" t="s">
        <v>74</v>
      </c>
      <c r="F477" t="s">
        <v>6653</v>
      </c>
      <c r="G477" t="s">
        <v>74</v>
      </c>
      <c r="H477" t="s">
        <v>74</v>
      </c>
      <c r="I477" t="s">
        <v>6654</v>
      </c>
      <c r="J477" t="s">
        <v>6638</v>
      </c>
      <c r="K477" t="s">
        <v>74</v>
      </c>
      <c r="L477" t="s">
        <v>74</v>
      </c>
      <c r="M477" t="s">
        <v>77</v>
      </c>
      <c r="N477" t="s">
        <v>103</v>
      </c>
      <c r="O477" t="s">
        <v>74</v>
      </c>
      <c r="P477" t="s">
        <v>74</v>
      </c>
      <c r="Q477" t="s">
        <v>74</v>
      </c>
      <c r="R477" t="s">
        <v>74</v>
      </c>
      <c r="S477" t="s">
        <v>74</v>
      </c>
      <c r="T477" t="s">
        <v>6655</v>
      </c>
      <c r="U477" t="s">
        <v>6656</v>
      </c>
      <c r="V477" t="s">
        <v>6657</v>
      </c>
      <c r="W477" t="s">
        <v>6658</v>
      </c>
      <c r="X477" t="s">
        <v>6659</v>
      </c>
      <c r="Y477" t="s">
        <v>6660</v>
      </c>
      <c r="Z477" t="s">
        <v>74</v>
      </c>
      <c r="AA477" t="s">
        <v>74</v>
      </c>
      <c r="AB477" t="s">
        <v>6661</v>
      </c>
      <c r="AC477" t="s">
        <v>74</v>
      </c>
      <c r="AD477" t="s">
        <v>74</v>
      </c>
      <c r="AE477" t="s">
        <v>74</v>
      </c>
      <c r="AF477" t="s">
        <v>74</v>
      </c>
      <c r="AG477">
        <v>46</v>
      </c>
      <c r="AH477">
        <v>53</v>
      </c>
      <c r="AI477">
        <v>56</v>
      </c>
      <c r="AJ477">
        <v>3</v>
      </c>
      <c r="AK477">
        <v>25</v>
      </c>
      <c r="AL477" t="s">
        <v>445</v>
      </c>
      <c r="AM477" t="s">
        <v>229</v>
      </c>
      <c r="AN477" t="s">
        <v>446</v>
      </c>
      <c r="AO477" t="s">
        <v>6645</v>
      </c>
      <c r="AP477" t="s">
        <v>74</v>
      </c>
      <c r="AQ477" t="s">
        <v>74</v>
      </c>
      <c r="AR477" t="s">
        <v>6646</v>
      </c>
      <c r="AS477" t="s">
        <v>6647</v>
      </c>
      <c r="AT477" t="s">
        <v>6139</v>
      </c>
      <c r="AU477">
        <v>1998</v>
      </c>
      <c r="AV477">
        <v>23</v>
      </c>
      <c r="AW477">
        <v>5</v>
      </c>
      <c r="AX477" t="s">
        <v>74</v>
      </c>
      <c r="AY477" t="s">
        <v>74</v>
      </c>
      <c r="AZ477" t="s">
        <v>74</v>
      </c>
      <c r="BA477" t="s">
        <v>74</v>
      </c>
      <c r="BB477">
        <v>311</v>
      </c>
      <c r="BC477">
        <v>318</v>
      </c>
      <c r="BD477" t="s">
        <v>74</v>
      </c>
      <c r="BE477" t="s">
        <v>6662</v>
      </c>
      <c r="BF477" t="str">
        <f>HYPERLINK("http://dx.doi.org/10.1016/S0306-4565(98)00022-9","http://dx.doi.org/10.1016/S0306-4565(98)00022-9")</f>
        <v>http://dx.doi.org/10.1016/S0306-4565(98)00022-9</v>
      </c>
      <c r="BG477" t="s">
        <v>74</v>
      </c>
      <c r="BH477" t="s">
        <v>74</v>
      </c>
      <c r="BI477">
        <v>8</v>
      </c>
      <c r="BJ477" t="s">
        <v>6649</v>
      </c>
      <c r="BK477" t="s">
        <v>95</v>
      </c>
      <c r="BL477" t="s">
        <v>6650</v>
      </c>
      <c r="BM477" t="s">
        <v>6651</v>
      </c>
      <c r="BN477" t="s">
        <v>74</v>
      </c>
      <c r="BO477" t="s">
        <v>74</v>
      </c>
      <c r="BP477" t="s">
        <v>74</v>
      </c>
      <c r="BQ477" t="s">
        <v>74</v>
      </c>
      <c r="BR477" t="s">
        <v>98</v>
      </c>
      <c r="BS477" t="s">
        <v>6663</v>
      </c>
      <c r="BT477" t="str">
        <f>HYPERLINK("https%3A%2F%2Fwww.webofscience.com%2Fwos%2Fwoscc%2Ffull-record%2FWOS:000076801000007","View Full Record in Web of Science")</f>
        <v>View Full Record in Web of Science</v>
      </c>
    </row>
    <row r="478" spans="1:72" x14ac:dyDescent="0.15">
      <c r="A478" t="s">
        <v>72</v>
      </c>
      <c r="B478" t="s">
        <v>6664</v>
      </c>
      <c r="C478" t="s">
        <v>74</v>
      </c>
      <c r="D478" t="s">
        <v>74</v>
      </c>
      <c r="E478" t="s">
        <v>74</v>
      </c>
      <c r="F478" t="s">
        <v>6664</v>
      </c>
      <c r="G478" t="s">
        <v>74</v>
      </c>
      <c r="H478" t="s">
        <v>74</v>
      </c>
      <c r="I478" t="s">
        <v>6665</v>
      </c>
      <c r="J478" t="s">
        <v>4502</v>
      </c>
      <c r="K478" t="s">
        <v>74</v>
      </c>
      <c r="L478" t="s">
        <v>74</v>
      </c>
      <c r="M478" t="s">
        <v>77</v>
      </c>
      <c r="N478" t="s">
        <v>103</v>
      </c>
      <c r="O478" t="s">
        <v>74</v>
      </c>
      <c r="P478" t="s">
        <v>74</v>
      </c>
      <c r="Q478" t="s">
        <v>74</v>
      </c>
      <c r="R478" t="s">
        <v>74</v>
      </c>
      <c r="S478" t="s">
        <v>74</v>
      </c>
      <c r="T478" t="s">
        <v>6666</v>
      </c>
      <c r="U478" t="s">
        <v>6667</v>
      </c>
      <c r="V478" t="s">
        <v>6668</v>
      </c>
      <c r="W478" t="s">
        <v>6669</v>
      </c>
      <c r="X478" t="s">
        <v>6670</v>
      </c>
      <c r="Y478" t="s">
        <v>6671</v>
      </c>
      <c r="Z478" t="s">
        <v>74</v>
      </c>
      <c r="AA478" t="s">
        <v>6672</v>
      </c>
      <c r="AB478" t="s">
        <v>6673</v>
      </c>
      <c r="AC478" t="s">
        <v>74</v>
      </c>
      <c r="AD478" t="s">
        <v>74</v>
      </c>
      <c r="AE478" t="s">
        <v>74</v>
      </c>
      <c r="AF478" t="s">
        <v>74</v>
      </c>
      <c r="AG478">
        <v>53</v>
      </c>
      <c r="AH478">
        <v>44</v>
      </c>
      <c r="AI478">
        <v>48</v>
      </c>
      <c r="AJ478">
        <v>0</v>
      </c>
      <c r="AK478">
        <v>15</v>
      </c>
      <c r="AL478" t="s">
        <v>1037</v>
      </c>
      <c r="AM478" t="s">
        <v>1038</v>
      </c>
      <c r="AN478" t="s">
        <v>1039</v>
      </c>
      <c r="AO478" t="s">
        <v>4509</v>
      </c>
      <c r="AP478" t="s">
        <v>74</v>
      </c>
      <c r="AQ478" t="s">
        <v>74</v>
      </c>
      <c r="AR478" t="s">
        <v>4510</v>
      </c>
      <c r="AS478" t="s">
        <v>4511</v>
      </c>
      <c r="AT478" t="s">
        <v>6139</v>
      </c>
      <c r="AU478">
        <v>1998</v>
      </c>
      <c r="AV478">
        <v>151</v>
      </c>
      <c r="AW478" t="s">
        <v>5317</v>
      </c>
      <c r="AX478" t="s">
        <v>74</v>
      </c>
      <c r="AY478" t="s">
        <v>74</v>
      </c>
      <c r="AZ478" t="s">
        <v>74</v>
      </c>
      <c r="BA478" t="s">
        <v>74</v>
      </c>
      <c r="BB478">
        <v>47</v>
      </c>
      <c r="BC478">
        <v>72</v>
      </c>
      <c r="BD478" t="s">
        <v>74</v>
      </c>
      <c r="BE478" t="s">
        <v>6674</v>
      </c>
      <c r="BF478" t="str">
        <f>HYPERLINK("http://dx.doi.org/10.1016/S0025-3227(98)00047-4","http://dx.doi.org/10.1016/S0025-3227(98)00047-4")</f>
        <v>http://dx.doi.org/10.1016/S0025-3227(98)00047-4</v>
      </c>
      <c r="BG478" t="s">
        <v>74</v>
      </c>
      <c r="BH478" t="s">
        <v>74</v>
      </c>
      <c r="BI478">
        <v>26</v>
      </c>
      <c r="BJ478" t="s">
        <v>893</v>
      </c>
      <c r="BK478" t="s">
        <v>95</v>
      </c>
      <c r="BL478" t="s">
        <v>894</v>
      </c>
      <c r="BM478" t="s">
        <v>6675</v>
      </c>
      <c r="BN478" t="s">
        <v>74</v>
      </c>
      <c r="BO478" t="s">
        <v>74</v>
      </c>
      <c r="BP478" t="s">
        <v>74</v>
      </c>
      <c r="BQ478" t="s">
        <v>74</v>
      </c>
      <c r="BR478" t="s">
        <v>98</v>
      </c>
      <c r="BS478" t="s">
        <v>6676</v>
      </c>
      <c r="BT478" t="str">
        <f>HYPERLINK("https%3A%2F%2Fwww.webofscience.com%2Fwos%2Fwoscc%2Ffull-record%2FWOS:000077002800003","View Full Record in Web of Science")</f>
        <v>View Full Record in Web of Science</v>
      </c>
    </row>
    <row r="479" spans="1:72" x14ac:dyDescent="0.15">
      <c r="A479" t="s">
        <v>72</v>
      </c>
      <c r="B479" t="s">
        <v>6677</v>
      </c>
      <c r="C479" t="s">
        <v>74</v>
      </c>
      <c r="D479" t="s">
        <v>74</v>
      </c>
      <c r="E479" t="s">
        <v>74</v>
      </c>
      <c r="F479" t="s">
        <v>6677</v>
      </c>
      <c r="G479" t="s">
        <v>74</v>
      </c>
      <c r="H479" t="s">
        <v>74</v>
      </c>
      <c r="I479" t="s">
        <v>6678</v>
      </c>
      <c r="J479" t="s">
        <v>4502</v>
      </c>
      <c r="K479" t="s">
        <v>74</v>
      </c>
      <c r="L479" t="s">
        <v>74</v>
      </c>
      <c r="M479" t="s">
        <v>77</v>
      </c>
      <c r="N479" t="s">
        <v>103</v>
      </c>
      <c r="O479" t="s">
        <v>74</v>
      </c>
      <c r="P479" t="s">
        <v>74</v>
      </c>
      <c r="Q479" t="s">
        <v>74</v>
      </c>
      <c r="R479" t="s">
        <v>74</v>
      </c>
      <c r="S479" t="s">
        <v>74</v>
      </c>
      <c r="T479" t="s">
        <v>6679</v>
      </c>
      <c r="U479" t="s">
        <v>1507</v>
      </c>
      <c r="V479" t="s">
        <v>6680</v>
      </c>
      <c r="W479" t="s">
        <v>6681</v>
      </c>
      <c r="X479" t="s">
        <v>6682</v>
      </c>
      <c r="Y479" t="s">
        <v>6683</v>
      </c>
      <c r="Z479" t="s">
        <v>6684</v>
      </c>
      <c r="AA479" t="s">
        <v>6685</v>
      </c>
      <c r="AB479" t="s">
        <v>6686</v>
      </c>
      <c r="AC479" t="s">
        <v>74</v>
      </c>
      <c r="AD479" t="s">
        <v>74</v>
      </c>
      <c r="AE479" t="s">
        <v>74</v>
      </c>
      <c r="AF479" t="s">
        <v>74</v>
      </c>
      <c r="AG479">
        <v>19</v>
      </c>
      <c r="AH479">
        <v>37</v>
      </c>
      <c r="AI479">
        <v>38</v>
      </c>
      <c r="AJ479">
        <v>0</v>
      </c>
      <c r="AK479">
        <v>5</v>
      </c>
      <c r="AL479" t="s">
        <v>1037</v>
      </c>
      <c r="AM479" t="s">
        <v>1038</v>
      </c>
      <c r="AN479" t="s">
        <v>1039</v>
      </c>
      <c r="AO479" t="s">
        <v>4509</v>
      </c>
      <c r="AP479" t="s">
        <v>74</v>
      </c>
      <c r="AQ479" t="s">
        <v>74</v>
      </c>
      <c r="AR479" t="s">
        <v>4510</v>
      </c>
      <c r="AS479" t="s">
        <v>4511</v>
      </c>
      <c r="AT479" t="s">
        <v>6139</v>
      </c>
      <c r="AU479">
        <v>1998</v>
      </c>
      <c r="AV479">
        <v>151</v>
      </c>
      <c r="AW479" t="s">
        <v>5317</v>
      </c>
      <c r="AX479" t="s">
        <v>74</v>
      </c>
      <c r="AY479" t="s">
        <v>74</v>
      </c>
      <c r="AZ479" t="s">
        <v>74</v>
      </c>
      <c r="BA479" t="s">
        <v>74</v>
      </c>
      <c r="BB479">
        <v>89</v>
      </c>
      <c r="BC479">
        <v>110</v>
      </c>
      <c r="BD479" t="s">
        <v>74</v>
      </c>
      <c r="BE479" t="s">
        <v>6687</v>
      </c>
      <c r="BF479" t="str">
        <f>HYPERLINK("http://dx.doi.org/10.1016/S0025-3227(98)00057-7","http://dx.doi.org/10.1016/S0025-3227(98)00057-7")</f>
        <v>http://dx.doi.org/10.1016/S0025-3227(98)00057-7</v>
      </c>
      <c r="BG479" t="s">
        <v>74</v>
      </c>
      <c r="BH479" t="s">
        <v>74</v>
      </c>
      <c r="BI479">
        <v>22</v>
      </c>
      <c r="BJ479" t="s">
        <v>893</v>
      </c>
      <c r="BK479" t="s">
        <v>95</v>
      </c>
      <c r="BL479" t="s">
        <v>894</v>
      </c>
      <c r="BM479" t="s">
        <v>6675</v>
      </c>
      <c r="BN479" t="s">
        <v>74</v>
      </c>
      <c r="BO479" t="s">
        <v>1429</v>
      </c>
      <c r="BP479" t="s">
        <v>74</v>
      </c>
      <c r="BQ479" t="s">
        <v>74</v>
      </c>
      <c r="BR479" t="s">
        <v>98</v>
      </c>
      <c r="BS479" t="s">
        <v>6688</v>
      </c>
      <c r="BT479" t="str">
        <f>HYPERLINK("https%3A%2F%2Fwww.webofscience.com%2Fwos%2Fwoscc%2Ffull-record%2FWOS:000077002800005","View Full Record in Web of Science")</f>
        <v>View Full Record in Web of Science</v>
      </c>
    </row>
    <row r="480" spans="1:72" x14ac:dyDescent="0.15">
      <c r="A480" t="s">
        <v>72</v>
      </c>
      <c r="B480" t="s">
        <v>6689</v>
      </c>
      <c r="C480" t="s">
        <v>74</v>
      </c>
      <c r="D480" t="s">
        <v>74</v>
      </c>
      <c r="E480" t="s">
        <v>74</v>
      </c>
      <c r="F480" t="s">
        <v>6689</v>
      </c>
      <c r="G480" t="s">
        <v>74</v>
      </c>
      <c r="H480" t="s">
        <v>74</v>
      </c>
      <c r="I480" t="s">
        <v>6690</v>
      </c>
      <c r="J480" t="s">
        <v>6691</v>
      </c>
      <c r="K480" t="s">
        <v>74</v>
      </c>
      <c r="L480" t="s">
        <v>74</v>
      </c>
      <c r="M480" t="s">
        <v>77</v>
      </c>
      <c r="N480" t="s">
        <v>103</v>
      </c>
      <c r="O480" t="s">
        <v>74</v>
      </c>
      <c r="P480" t="s">
        <v>74</v>
      </c>
      <c r="Q480" t="s">
        <v>74</v>
      </c>
      <c r="R480" t="s">
        <v>74</v>
      </c>
      <c r="S480" t="s">
        <v>74</v>
      </c>
      <c r="T480" t="s">
        <v>6692</v>
      </c>
      <c r="U480" t="s">
        <v>6693</v>
      </c>
      <c r="V480" t="s">
        <v>6694</v>
      </c>
      <c r="W480" t="s">
        <v>6695</v>
      </c>
      <c r="X480" t="s">
        <v>6696</v>
      </c>
      <c r="Y480" t="s">
        <v>6697</v>
      </c>
      <c r="Z480" t="s">
        <v>6698</v>
      </c>
      <c r="AA480" t="s">
        <v>74</v>
      </c>
      <c r="AB480" t="s">
        <v>74</v>
      </c>
      <c r="AC480" t="s">
        <v>74</v>
      </c>
      <c r="AD480" t="s">
        <v>74</v>
      </c>
      <c r="AE480" t="s">
        <v>74</v>
      </c>
      <c r="AF480" t="s">
        <v>74</v>
      </c>
      <c r="AG480">
        <v>65</v>
      </c>
      <c r="AH480">
        <v>44</v>
      </c>
      <c r="AI480">
        <v>55</v>
      </c>
      <c r="AJ480">
        <v>0</v>
      </c>
      <c r="AK480">
        <v>17</v>
      </c>
      <c r="AL480" t="s">
        <v>6699</v>
      </c>
      <c r="AM480" t="s">
        <v>4407</v>
      </c>
      <c r="AN480" t="s">
        <v>6700</v>
      </c>
      <c r="AO480" t="s">
        <v>6701</v>
      </c>
      <c r="AP480" t="s">
        <v>74</v>
      </c>
      <c r="AQ480" t="s">
        <v>74</v>
      </c>
      <c r="AR480" t="s">
        <v>6702</v>
      </c>
      <c r="AS480" t="s">
        <v>6703</v>
      </c>
      <c r="AT480" t="s">
        <v>6139</v>
      </c>
      <c r="AU480">
        <v>1998</v>
      </c>
      <c r="AV480">
        <v>14</v>
      </c>
      <c r="AW480">
        <v>4</v>
      </c>
      <c r="AX480" t="s">
        <v>74</v>
      </c>
      <c r="AY480" t="s">
        <v>74</v>
      </c>
      <c r="AZ480" t="s">
        <v>74</v>
      </c>
      <c r="BA480" t="s">
        <v>74</v>
      </c>
      <c r="BB480">
        <v>721</v>
      </c>
      <c r="BC480">
        <v>737</v>
      </c>
      <c r="BD480" t="s">
        <v>74</v>
      </c>
      <c r="BE480" t="s">
        <v>6704</v>
      </c>
      <c r="BF480" t="str">
        <f>HYPERLINK("http://dx.doi.org/10.1111/j.1748-7692.1998.tb00758.x","http://dx.doi.org/10.1111/j.1748-7692.1998.tb00758.x")</f>
        <v>http://dx.doi.org/10.1111/j.1748-7692.1998.tb00758.x</v>
      </c>
      <c r="BG480" t="s">
        <v>74</v>
      </c>
      <c r="BH480" t="s">
        <v>74</v>
      </c>
      <c r="BI480">
        <v>17</v>
      </c>
      <c r="BJ480" t="s">
        <v>1230</v>
      </c>
      <c r="BK480" t="s">
        <v>95</v>
      </c>
      <c r="BL480" t="s">
        <v>1230</v>
      </c>
      <c r="BM480" t="s">
        <v>6705</v>
      </c>
      <c r="BN480" t="s">
        <v>74</v>
      </c>
      <c r="BO480" t="s">
        <v>74</v>
      </c>
      <c r="BP480" t="s">
        <v>74</v>
      </c>
      <c r="BQ480" t="s">
        <v>74</v>
      </c>
      <c r="BR480" t="s">
        <v>98</v>
      </c>
      <c r="BS480" t="s">
        <v>6706</v>
      </c>
      <c r="BT480" t="str">
        <f>HYPERLINK("https%3A%2F%2Fwww.webofscience.com%2Fwos%2Fwoscc%2Ffull-record%2FWOS:000076395000004","View Full Record in Web of Science")</f>
        <v>View Full Record in Web of Science</v>
      </c>
    </row>
    <row r="481" spans="1:72" x14ac:dyDescent="0.15">
      <c r="A481" t="s">
        <v>72</v>
      </c>
      <c r="B481" t="s">
        <v>6707</v>
      </c>
      <c r="C481" t="s">
        <v>74</v>
      </c>
      <c r="D481" t="s">
        <v>74</v>
      </c>
      <c r="E481" t="s">
        <v>74</v>
      </c>
      <c r="F481" t="s">
        <v>6707</v>
      </c>
      <c r="G481" t="s">
        <v>74</v>
      </c>
      <c r="H481" t="s">
        <v>74</v>
      </c>
      <c r="I481" t="s">
        <v>6708</v>
      </c>
      <c r="J481" t="s">
        <v>6691</v>
      </c>
      <c r="K481" t="s">
        <v>74</v>
      </c>
      <c r="L481" t="s">
        <v>74</v>
      </c>
      <c r="M481" t="s">
        <v>77</v>
      </c>
      <c r="N481" t="s">
        <v>103</v>
      </c>
      <c r="O481" t="s">
        <v>74</v>
      </c>
      <c r="P481" t="s">
        <v>74</v>
      </c>
      <c r="Q481" t="s">
        <v>74</v>
      </c>
      <c r="R481" t="s">
        <v>74</v>
      </c>
      <c r="S481" t="s">
        <v>74</v>
      </c>
      <c r="T481" t="s">
        <v>6709</v>
      </c>
      <c r="U481" t="s">
        <v>6710</v>
      </c>
      <c r="V481" t="s">
        <v>6711</v>
      </c>
      <c r="W481" t="s">
        <v>6712</v>
      </c>
      <c r="X481" t="s">
        <v>6713</v>
      </c>
      <c r="Y481" t="s">
        <v>6714</v>
      </c>
      <c r="Z481" t="s">
        <v>74</v>
      </c>
      <c r="AA481" t="s">
        <v>6715</v>
      </c>
      <c r="AB481" t="s">
        <v>6716</v>
      </c>
      <c r="AC481" t="s">
        <v>74</v>
      </c>
      <c r="AD481" t="s">
        <v>74</v>
      </c>
      <c r="AE481" t="s">
        <v>74</v>
      </c>
      <c r="AF481" t="s">
        <v>74</v>
      </c>
      <c r="AG481">
        <v>31</v>
      </c>
      <c r="AH481">
        <v>7</v>
      </c>
      <c r="AI481">
        <v>8</v>
      </c>
      <c r="AJ481">
        <v>0</v>
      </c>
      <c r="AK481">
        <v>7</v>
      </c>
      <c r="AL481" t="s">
        <v>6699</v>
      </c>
      <c r="AM481" t="s">
        <v>4407</v>
      </c>
      <c r="AN481" t="s">
        <v>6700</v>
      </c>
      <c r="AO481" t="s">
        <v>6701</v>
      </c>
      <c r="AP481" t="s">
        <v>74</v>
      </c>
      <c r="AQ481" t="s">
        <v>74</v>
      </c>
      <c r="AR481" t="s">
        <v>6702</v>
      </c>
      <c r="AS481" t="s">
        <v>6703</v>
      </c>
      <c r="AT481" t="s">
        <v>6139</v>
      </c>
      <c r="AU481">
        <v>1998</v>
      </c>
      <c r="AV481">
        <v>14</v>
      </c>
      <c r="AW481">
        <v>4</v>
      </c>
      <c r="AX481" t="s">
        <v>74</v>
      </c>
      <c r="AY481" t="s">
        <v>74</v>
      </c>
      <c r="AZ481" t="s">
        <v>74</v>
      </c>
      <c r="BA481" t="s">
        <v>74</v>
      </c>
      <c r="BB481">
        <v>765</v>
      </c>
      <c r="BC481">
        <v>777</v>
      </c>
      <c r="BD481" t="s">
        <v>74</v>
      </c>
      <c r="BE481" t="s">
        <v>6717</v>
      </c>
      <c r="BF481" t="str">
        <f>HYPERLINK("http://dx.doi.org/10.1111/j.1748-7692.1998.tb00761.x","http://dx.doi.org/10.1111/j.1748-7692.1998.tb00761.x")</f>
        <v>http://dx.doi.org/10.1111/j.1748-7692.1998.tb00761.x</v>
      </c>
      <c r="BG481" t="s">
        <v>74</v>
      </c>
      <c r="BH481" t="s">
        <v>74</v>
      </c>
      <c r="BI481">
        <v>13</v>
      </c>
      <c r="BJ481" t="s">
        <v>1230</v>
      </c>
      <c r="BK481" t="s">
        <v>95</v>
      </c>
      <c r="BL481" t="s">
        <v>1230</v>
      </c>
      <c r="BM481" t="s">
        <v>6705</v>
      </c>
      <c r="BN481" t="s">
        <v>74</v>
      </c>
      <c r="BO481" t="s">
        <v>74</v>
      </c>
      <c r="BP481" t="s">
        <v>74</v>
      </c>
      <c r="BQ481" t="s">
        <v>74</v>
      </c>
      <c r="BR481" t="s">
        <v>98</v>
      </c>
      <c r="BS481" t="s">
        <v>6718</v>
      </c>
      <c r="BT481" t="str">
        <f>HYPERLINK("https%3A%2F%2Fwww.webofscience.com%2Fwos%2Fwoscc%2Ffull-record%2FWOS:000076395000007","View Full Record in Web of Science")</f>
        <v>View Full Record in Web of Science</v>
      </c>
    </row>
    <row r="482" spans="1:72" x14ac:dyDescent="0.15">
      <c r="A482" t="s">
        <v>72</v>
      </c>
      <c r="B482" t="s">
        <v>6719</v>
      </c>
      <c r="C482" t="s">
        <v>74</v>
      </c>
      <c r="D482" t="s">
        <v>74</v>
      </c>
      <c r="E482" t="s">
        <v>74</v>
      </c>
      <c r="F482" t="s">
        <v>6719</v>
      </c>
      <c r="G482" t="s">
        <v>74</v>
      </c>
      <c r="H482" t="s">
        <v>74</v>
      </c>
      <c r="I482" t="s">
        <v>6720</v>
      </c>
      <c r="J482" t="s">
        <v>6691</v>
      </c>
      <c r="K482" t="s">
        <v>74</v>
      </c>
      <c r="L482" t="s">
        <v>74</v>
      </c>
      <c r="M482" t="s">
        <v>77</v>
      </c>
      <c r="N482" t="s">
        <v>103</v>
      </c>
      <c r="O482" t="s">
        <v>74</v>
      </c>
      <c r="P482" t="s">
        <v>74</v>
      </c>
      <c r="Q482" t="s">
        <v>74</v>
      </c>
      <c r="R482" t="s">
        <v>74</v>
      </c>
      <c r="S482" t="s">
        <v>74</v>
      </c>
      <c r="T482" t="s">
        <v>74</v>
      </c>
      <c r="U482" t="s">
        <v>74</v>
      </c>
      <c r="V482" t="s">
        <v>74</v>
      </c>
      <c r="W482" t="s">
        <v>944</v>
      </c>
      <c r="X482" t="s">
        <v>628</v>
      </c>
      <c r="Y482" t="s">
        <v>6721</v>
      </c>
      <c r="Z482" t="s">
        <v>74</v>
      </c>
      <c r="AA482" t="s">
        <v>74</v>
      </c>
      <c r="AB482" t="s">
        <v>74</v>
      </c>
      <c r="AC482" t="s">
        <v>74</v>
      </c>
      <c r="AD482" t="s">
        <v>74</v>
      </c>
      <c r="AE482" t="s">
        <v>74</v>
      </c>
      <c r="AF482" t="s">
        <v>74</v>
      </c>
      <c r="AG482">
        <v>6</v>
      </c>
      <c r="AH482">
        <v>10</v>
      </c>
      <c r="AI482">
        <v>11</v>
      </c>
      <c r="AJ482">
        <v>0</v>
      </c>
      <c r="AK482">
        <v>2</v>
      </c>
      <c r="AL482" t="s">
        <v>6699</v>
      </c>
      <c r="AM482" t="s">
        <v>4407</v>
      </c>
      <c r="AN482" t="s">
        <v>6700</v>
      </c>
      <c r="AO482" t="s">
        <v>6701</v>
      </c>
      <c r="AP482" t="s">
        <v>74</v>
      </c>
      <c r="AQ482" t="s">
        <v>74</v>
      </c>
      <c r="AR482" t="s">
        <v>6702</v>
      </c>
      <c r="AS482" t="s">
        <v>6703</v>
      </c>
      <c r="AT482" t="s">
        <v>6139</v>
      </c>
      <c r="AU482">
        <v>1998</v>
      </c>
      <c r="AV482">
        <v>14</v>
      </c>
      <c r="AW482">
        <v>4</v>
      </c>
      <c r="AX482" t="s">
        <v>74</v>
      </c>
      <c r="AY482" t="s">
        <v>74</v>
      </c>
      <c r="AZ482" t="s">
        <v>74</v>
      </c>
      <c r="BA482" t="s">
        <v>74</v>
      </c>
      <c r="BB482">
        <v>881</v>
      </c>
      <c r="BC482">
        <v>883</v>
      </c>
      <c r="BD482" t="s">
        <v>74</v>
      </c>
      <c r="BE482" t="s">
        <v>6722</v>
      </c>
      <c r="BF482" t="str">
        <f>HYPERLINK("http://dx.doi.org/10.1111/j.1748-7692.1998.tb00773.x","http://dx.doi.org/10.1111/j.1748-7692.1998.tb00773.x")</f>
        <v>http://dx.doi.org/10.1111/j.1748-7692.1998.tb00773.x</v>
      </c>
      <c r="BG482" t="s">
        <v>74</v>
      </c>
      <c r="BH482" t="s">
        <v>74</v>
      </c>
      <c r="BI482">
        <v>3</v>
      </c>
      <c r="BJ482" t="s">
        <v>1230</v>
      </c>
      <c r="BK482" t="s">
        <v>95</v>
      </c>
      <c r="BL482" t="s">
        <v>1230</v>
      </c>
      <c r="BM482" t="s">
        <v>6705</v>
      </c>
      <c r="BN482" t="s">
        <v>74</v>
      </c>
      <c r="BO482" t="s">
        <v>74</v>
      </c>
      <c r="BP482" t="s">
        <v>74</v>
      </c>
      <c r="BQ482" t="s">
        <v>74</v>
      </c>
      <c r="BR482" t="s">
        <v>98</v>
      </c>
      <c r="BS482" t="s">
        <v>6723</v>
      </c>
      <c r="BT482" t="str">
        <f>HYPERLINK("https%3A%2F%2Fwww.webofscience.com%2Fwos%2Fwoscc%2Ffull-record%2FWOS:000076395000019","View Full Record in Web of Science")</f>
        <v>View Full Record in Web of Science</v>
      </c>
    </row>
    <row r="483" spans="1:72" x14ac:dyDescent="0.15">
      <c r="A483" t="s">
        <v>72</v>
      </c>
      <c r="B483" t="s">
        <v>6724</v>
      </c>
      <c r="C483" t="s">
        <v>74</v>
      </c>
      <c r="D483" t="s">
        <v>74</v>
      </c>
      <c r="E483" t="s">
        <v>74</v>
      </c>
      <c r="F483" t="s">
        <v>6724</v>
      </c>
      <c r="G483" t="s">
        <v>74</v>
      </c>
      <c r="H483" t="s">
        <v>74</v>
      </c>
      <c r="I483" t="s">
        <v>6725</v>
      </c>
      <c r="J483" t="s">
        <v>6726</v>
      </c>
      <c r="K483" t="s">
        <v>74</v>
      </c>
      <c r="L483" t="s">
        <v>74</v>
      </c>
      <c r="M483" t="s">
        <v>77</v>
      </c>
      <c r="N483" t="s">
        <v>103</v>
      </c>
      <c r="O483" t="s">
        <v>74</v>
      </c>
      <c r="P483" t="s">
        <v>74</v>
      </c>
      <c r="Q483" t="s">
        <v>74</v>
      </c>
      <c r="R483" t="s">
        <v>74</v>
      </c>
      <c r="S483" t="s">
        <v>74</v>
      </c>
      <c r="T483" t="s">
        <v>74</v>
      </c>
      <c r="U483" t="s">
        <v>6727</v>
      </c>
      <c r="V483" t="s">
        <v>6728</v>
      </c>
      <c r="W483" t="s">
        <v>6729</v>
      </c>
      <c r="X483" t="s">
        <v>1384</v>
      </c>
      <c r="Y483" t="s">
        <v>6730</v>
      </c>
      <c r="Z483" t="s">
        <v>74</v>
      </c>
      <c r="AA483" t="s">
        <v>74</v>
      </c>
      <c r="AB483" t="s">
        <v>74</v>
      </c>
      <c r="AC483" t="s">
        <v>74</v>
      </c>
      <c r="AD483" t="s">
        <v>74</v>
      </c>
      <c r="AE483" t="s">
        <v>74</v>
      </c>
      <c r="AF483" t="s">
        <v>74</v>
      </c>
      <c r="AG483">
        <v>20</v>
      </c>
      <c r="AH483">
        <v>199</v>
      </c>
      <c r="AI483">
        <v>214</v>
      </c>
      <c r="AJ483">
        <v>1</v>
      </c>
      <c r="AK483">
        <v>25</v>
      </c>
      <c r="AL483" t="s">
        <v>6731</v>
      </c>
      <c r="AM483" t="s">
        <v>1121</v>
      </c>
      <c r="AN483" t="s">
        <v>6732</v>
      </c>
      <c r="AO483" t="s">
        <v>6733</v>
      </c>
      <c r="AP483" t="s">
        <v>74</v>
      </c>
      <c r="AQ483" t="s">
        <v>74</v>
      </c>
      <c r="AR483" t="s">
        <v>6726</v>
      </c>
      <c r="AS483" t="s">
        <v>6734</v>
      </c>
      <c r="AT483" t="s">
        <v>6492</v>
      </c>
      <c r="AU483">
        <v>1998</v>
      </c>
      <c r="AV483">
        <v>395</v>
      </c>
      <c r="AW483">
        <v>6701</v>
      </c>
      <c r="AX483" t="s">
        <v>74</v>
      </c>
      <c r="AY483" t="s">
        <v>74</v>
      </c>
      <c r="AZ483" t="s">
        <v>74</v>
      </c>
      <c r="BA483" t="s">
        <v>74</v>
      </c>
      <c r="BB483">
        <v>486</v>
      </c>
      <c r="BC483">
        <v>490</v>
      </c>
      <c r="BD483" t="s">
        <v>74</v>
      </c>
      <c r="BE483" t="s">
        <v>6735</v>
      </c>
      <c r="BF483" t="str">
        <f>HYPERLINK("http://dx.doi.org/10.1038/26723","http://dx.doi.org/10.1038/26723")</f>
        <v>http://dx.doi.org/10.1038/26723</v>
      </c>
      <c r="BG483" t="s">
        <v>74</v>
      </c>
      <c r="BH483" t="s">
        <v>74</v>
      </c>
      <c r="BI483">
        <v>5</v>
      </c>
      <c r="BJ483" t="s">
        <v>3377</v>
      </c>
      <c r="BK483" t="s">
        <v>95</v>
      </c>
      <c r="BL483" t="s">
        <v>3378</v>
      </c>
      <c r="BM483" t="s">
        <v>6736</v>
      </c>
      <c r="BN483" t="s">
        <v>74</v>
      </c>
      <c r="BO483" t="s">
        <v>74</v>
      </c>
      <c r="BP483" t="s">
        <v>74</v>
      </c>
      <c r="BQ483" t="s">
        <v>74</v>
      </c>
      <c r="BR483" t="s">
        <v>98</v>
      </c>
      <c r="BS483" t="s">
        <v>6737</v>
      </c>
      <c r="BT483" t="str">
        <f>HYPERLINK("https%3A%2F%2Fwww.webofscience.com%2Fwos%2Fwoscc%2Ffull-record%2FWOS:000076212200051","View Full Record in Web of Science")</f>
        <v>View Full Record in Web of Science</v>
      </c>
    </row>
    <row r="484" spans="1:72" x14ac:dyDescent="0.15">
      <c r="A484" t="s">
        <v>72</v>
      </c>
      <c r="B484" t="s">
        <v>6738</v>
      </c>
      <c r="C484" t="s">
        <v>74</v>
      </c>
      <c r="D484" t="s">
        <v>74</v>
      </c>
      <c r="E484" t="s">
        <v>74</v>
      </c>
      <c r="F484" t="s">
        <v>6738</v>
      </c>
      <c r="G484" t="s">
        <v>74</v>
      </c>
      <c r="H484" t="s">
        <v>74</v>
      </c>
      <c r="I484" t="s">
        <v>6739</v>
      </c>
      <c r="J484" t="s">
        <v>6740</v>
      </c>
      <c r="K484" t="s">
        <v>74</v>
      </c>
      <c r="L484" t="s">
        <v>74</v>
      </c>
      <c r="M484" t="s">
        <v>77</v>
      </c>
      <c r="N484" t="s">
        <v>103</v>
      </c>
      <c r="O484" t="s">
        <v>74</v>
      </c>
      <c r="P484" t="s">
        <v>74</v>
      </c>
      <c r="Q484" t="s">
        <v>74</v>
      </c>
      <c r="R484" t="s">
        <v>74</v>
      </c>
      <c r="S484" t="s">
        <v>74</v>
      </c>
      <c r="T484" t="s">
        <v>6741</v>
      </c>
      <c r="U484" t="s">
        <v>6742</v>
      </c>
      <c r="V484" t="s">
        <v>6743</v>
      </c>
      <c r="W484" t="s">
        <v>6744</v>
      </c>
      <c r="X484" t="s">
        <v>6745</v>
      </c>
      <c r="Y484" t="s">
        <v>6746</v>
      </c>
      <c r="Z484" t="s">
        <v>74</v>
      </c>
      <c r="AA484" t="s">
        <v>6747</v>
      </c>
      <c r="AB484" t="s">
        <v>6748</v>
      </c>
      <c r="AC484" t="s">
        <v>74</v>
      </c>
      <c r="AD484" t="s">
        <v>74</v>
      </c>
      <c r="AE484" t="s">
        <v>74</v>
      </c>
      <c r="AF484" t="s">
        <v>74</v>
      </c>
      <c r="AG484">
        <v>44</v>
      </c>
      <c r="AH484">
        <v>94</v>
      </c>
      <c r="AI484">
        <v>100</v>
      </c>
      <c r="AJ484">
        <v>2</v>
      </c>
      <c r="AK484">
        <v>24</v>
      </c>
      <c r="AL484" t="s">
        <v>887</v>
      </c>
      <c r="AM484" t="s">
        <v>278</v>
      </c>
      <c r="AN484" t="s">
        <v>888</v>
      </c>
      <c r="AO484" t="s">
        <v>6749</v>
      </c>
      <c r="AP484" t="s">
        <v>74</v>
      </c>
      <c r="AQ484" t="s">
        <v>74</v>
      </c>
      <c r="AR484" t="s">
        <v>6740</v>
      </c>
      <c r="AS484" t="s">
        <v>6750</v>
      </c>
      <c r="AT484" t="s">
        <v>6139</v>
      </c>
      <c r="AU484">
        <v>1998</v>
      </c>
      <c r="AV484">
        <v>116</v>
      </c>
      <c r="AW484">
        <v>4</v>
      </c>
      <c r="AX484" t="s">
        <v>74</v>
      </c>
      <c r="AY484" t="s">
        <v>74</v>
      </c>
      <c r="AZ484" t="s">
        <v>74</v>
      </c>
      <c r="BA484" t="s">
        <v>74</v>
      </c>
      <c r="BB484">
        <v>528</v>
      </c>
      <c r="BC484">
        <v>535</v>
      </c>
      <c r="BD484" t="s">
        <v>74</v>
      </c>
      <c r="BE484" t="s">
        <v>6751</v>
      </c>
      <c r="BF484" t="str">
        <f>HYPERLINK("http://dx.doi.org/10.1007/s004420050618","http://dx.doi.org/10.1007/s004420050618")</f>
        <v>http://dx.doi.org/10.1007/s004420050618</v>
      </c>
      <c r="BG484" t="s">
        <v>74</v>
      </c>
      <c r="BH484" t="s">
        <v>74</v>
      </c>
      <c r="BI484">
        <v>8</v>
      </c>
      <c r="BJ484" t="s">
        <v>660</v>
      </c>
      <c r="BK484" t="s">
        <v>95</v>
      </c>
      <c r="BL484" t="s">
        <v>661</v>
      </c>
      <c r="BM484" t="s">
        <v>6752</v>
      </c>
      <c r="BN484">
        <v>28307522</v>
      </c>
      <c r="BO484" t="s">
        <v>74</v>
      </c>
      <c r="BP484" t="s">
        <v>74</v>
      </c>
      <c r="BQ484" t="s">
        <v>74</v>
      </c>
      <c r="BR484" t="s">
        <v>98</v>
      </c>
      <c r="BS484" t="s">
        <v>6753</v>
      </c>
      <c r="BT484" t="str">
        <f>HYPERLINK("https%3A%2F%2Fwww.webofscience.com%2Fwos%2Fwoscc%2Ffull-record%2FWOS:000076455200011","View Full Record in Web of Science")</f>
        <v>View Full Record in Web of Science</v>
      </c>
    </row>
    <row r="485" spans="1:72" x14ac:dyDescent="0.15">
      <c r="A485" t="s">
        <v>72</v>
      </c>
      <c r="B485" t="s">
        <v>6754</v>
      </c>
      <c r="C485" t="s">
        <v>74</v>
      </c>
      <c r="D485" t="s">
        <v>74</v>
      </c>
      <c r="E485" t="s">
        <v>74</v>
      </c>
      <c r="F485" t="s">
        <v>6754</v>
      </c>
      <c r="G485" t="s">
        <v>74</v>
      </c>
      <c r="H485" t="s">
        <v>74</v>
      </c>
      <c r="I485" t="s">
        <v>6755</v>
      </c>
      <c r="J485" t="s">
        <v>6756</v>
      </c>
      <c r="K485" t="s">
        <v>74</v>
      </c>
      <c r="L485" t="s">
        <v>74</v>
      </c>
      <c r="M485" t="s">
        <v>77</v>
      </c>
      <c r="N485" t="s">
        <v>123</v>
      </c>
      <c r="O485" t="s">
        <v>6757</v>
      </c>
      <c r="P485" t="s">
        <v>6758</v>
      </c>
      <c r="Q485" t="s">
        <v>6759</v>
      </c>
      <c r="R485" t="s">
        <v>74</v>
      </c>
      <c r="S485" t="s">
        <v>74</v>
      </c>
      <c r="T485" t="s">
        <v>74</v>
      </c>
      <c r="U485" t="s">
        <v>6760</v>
      </c>
      <c r="V485" t="s">
        <v>6761</v>
      </c>
      <c r="W485" t="s">
        <v>6762</v>
      </c>
      <c r="X485" t="s">
        <v>6763</v>
      </c>
      <c r="Y485" t="s">
        <v>6764</v>
      </c>
      <c r="Z485" t="s">
        <v>74</v>
      </c>
      <c r="AA485" t="s">
        <v>74</v>
      </c>
      <c r="AB485" t="s">
        <v>74</v>
      </c>
      <c r="AC485" t="s">
        <v>74</v>
      </c>
      <c r="AD485" t="s">
        <v>74</v>
      </c>
      <c r="AE485" t="s">
        <v>74</v>
      </c>
      <c r="AF485" t="s">
        <v>74</v>
      </c>
      <c r="AG485">
        <v>68</v>
      </c>
      <c r="AH485">
        <v>90</v>
      </c>
      <c r="AI485">
        <v>92</v>
      </c>
      <c r="AJ485">
        <v>2</v>
      </c>
      <c r="AK485">
        <v>30</v>
      </c>
      <c r="AL485" t="s">
        <v>805</v>
      </c>
      <c r="AM485" t="s">
        <v>866</v>
      </c>
      <c r="AN485" t="s">
        <v>867</v>
      </c>
      <c r="AO485" t="s">
        <v>6765</v>
      </c>
      <c r="AP485" t="s">
        <v>74</v>
      </c>
      <c r="AQ485" t="s">
        <v>74</v>
      </c>
      <c r="AR485" t="s">
        <v>6766</v>
      </c>
      <c r="AS485" t="s">
        <v>6767</v>
      </c>
      <c r="AT485" t="s">
        <v>6139</v>
      </c>
      <c r="AU485">
        <v>1998</v>
      </c>
      <c r="AV485">
        <v>28</v>
      </c>
      <c r="AW485" t="s">
        <v>6768</v>
      </c>
      <c r="AX485" t="s">
        <v>74</v>
      </c>
      <c r="AY485" t="s">
        <v>74</v>
      </c>
      <c r="AZ485" t="s">
        <v>74</v>
      </c>
      <c r="BA485" t="s">
        <v>74</v>
      </c>
      <c r="BB485">
        <v>385</v>
      </c>
      <c r="BC485">
        <v>412</v>
      </c>
      <c r="BD485" t="s">
        <v>74</v>
      </c>
      <c r="BE485" t="s">
        <v>6769</v>
      </c>
      <c r="BF485" t="str">
        <f>HYPERLINK("http://dx.doi.org/10.1023/A:1006589819844","http://dx.doi.org/10.1023/A:1006589819844")</f>
        <v>http://dx.doi.org/10.1023/A:1006589819844</v>
      </c>
      <c r="BG485" t="s">
        <v>74</v>
      </c>
      <c r="BH485" t="s">
        <v>74</v>
      </c>
      <c r="BI485">
        <v>28</v>
      </c>
      <c r="BJ485" t="s">
        <v>6479</v>
      </c>
      <c r="BK485" t="s">
        <v>144</v>
      </c>
      <c r="BL485" t="s">
        <v>6480</v>
      </c>
      <c r="BM485" t="s">
        <v>6770</v>
      </c>
      <c r="BN485">
        <v>10357645</v>
      </c>
      <c r="BO485" t="s">
        <v>74</v>
      </c>
      <c r="BP485" t="s">
        <v>74</v>
      </c>
      <c r="BQ485" t="s">
        <v>74</v>
      </c>
      <c r="BR485" t="s">
        <v>98</v>
      </c>
      <c r="BS485" t="s">
        <v>6771</v>
      </c>
      <c r="BT485" t="str">
        <f>HYPERLINK("https%3A%2F%2Fwww.webofscience.com%2Fwos%2Fwoscc%2Ffull-record%2FWOS:000075658100004","View Full Record in Web of Science")</f>
        <v>View Full Record in Web of Science</v>
      </c>
    </row>
    <row r="486" spans="1:72" x14ac:dyDescent="0.15">
      <c r="A486" t="s">
        <v>72</v>
      </c>
      <c r="B486" t="s">
        <v>6772</v>
      </c>
      <c r="C486" t="s">
        <v>74</v>
      </c>
      <c r="D486" t="s">
        <v>74</v>
      </c>
      <c r="E486" t="s">
        <v>74</v>
      </c>
      <c r="F486" t="s">
        <v>6772</v>
      </c>
      <c r="G486" t="s">
        <v>74</v>
      </c>
      <c r="H486" t="s">
        <v>74</v>
      </c>
      <c r="I486" t="s">
        <v>6773</v>
      </c>
      <c r="J486" t="s">
        <v>6756</v>
      </c>
      <c r="K486" t="s">
        <v>74</v>
      </c>
      <c r="L486" t="s">
        <v>74</v>
      </c>
      <c r="M486" t="s">
        <v>77</v>
      </c>
      <c r="N486" t="s">
        <v>123</v>
      </c>
      <c r="O486" t="s">
        <v>6757</v>
      </c>
      <c r="P486" t="s">
        <v>6758</v>
      </c>
      <c r="Q486" t="s">
        <v>6759</v>
      </c>
      <c r="R486" t="s">
        <v>74</v>
      </c>
      <c r="S486" t="s">
        <v>74</v>
      </c>
      <c r="T486" t="s">
        <v>74</v>
      </c>
      <c r="U486" t="s">
        <v>6774</v>
      </c>
      <c r="V486" t="s">
        <v>6775</v>
      </c>
      <c r="W486" t="s">
        <v>6776</v>
      </c>
      <c r="X486" t="s">
        <v>6777</v>
      </c>
      <c r="Y486" t="s">
        <v>6778</v>
      </c>
      <c r="Z486" t="s">
        <v>74</v>
      </c>
      <c r="AA486" t="s">
        <v>6779</v>
      </c>
      <c r="AB486" t="s">
        <v>6780</v>
      </c>
      <c r="AC486" t="s">
        <v>74</v>
      </c>
      <c r="AD486" t="s">
        <v>74</v>
      </c>
      <c r="AE486" t="s">
        <v>74</v>
      </c>
      <c r="AF486" t="s">
        <v>74</v>
      </c>
      <c r="AG486">
        <v>36</v>
      </c>
      <c r="AH486">
        <v>77</v>
      </c>
      <c r="AI486">
        <v>80</v>
      </c>
      <c r="AJ486">
        <v>0</v>
      </c>
      <c r="AK486">
        <v>16</v>
      </c>
      <c r="AL486" t="s">
        <v>805</v>
      </c>
      <c r="AM486" t="s">
        <v>866</v>
      </c>
      <c r="AN486" t="s">
        <v>867</v>
      </c>
      <c r="AO486" t="s">
        <v>6765</v>
      </c>
      <c r="AP486" t="s">
        <v>74</v>
      </c>
      <c r="AQ486" t="s">
        <v>74</v>
      </c>
      <c r="AR486" t="s">
        <v>6766</v>
      </c>
      <c r="AS486" t="s">
        <v>6767</v>
      </c>
      <c r="AT486" t="s">
        <v>6139</v>
      </c>
      <c r="AU486">
        <v>1998</v>
      </c>
      <c r="AV486">
        <v>28</v>
      </c>
      <c r="AW486" t="s">
        <v>6768</v>
      </c>
      <c r="AX486" t="s">
        <v>74</v>
      </c>
      <c r="AY486" t="s">
        <v>74</v>
      </c>
      <c r="AZ486" t="s">
        <v>74</v>
      </c>
      <c r="BA486" t="s">
        <v>74</v>
      </c>
      <c r="BB486">
        <v>413</v>
      </c>
      <c r="BC486">
        <v>424</v>
      </c>
      <c r="BD486" t="s">
        <v>74</v>
      </c>
      <c r="BE486" t="s">
        <v>6781</v>
      </c>
      <c r="BF486" t="str">
        <f>HYPERLINK("http://dx.doi.org/10.1023/A:1006548905523","http://dx.doi.org/10.1023/A:1006548905523")</f>
        <v>http://dx.doi.org/10.1023/A:1006548905523</v>
      </c>
      <c r="BG486" t="s">
        <v>74</v>
      </c>
      <c r="BH486" t="s">
        <v>74</v>
      </c>
      <c r="BI486">
        <v>12</v>
      </c>
      <c r="BJ486" t="s">
        <v>6479</v>
      </c>
      <c r="BK486" t="s">
        <v>144</v>
      </c>
      <c r="BL486" t="s">
        <v>6480</v>
      </c>
      <c r="BM486" t="s">
        <v>6770</v>
      </c>
      <c r="BN486">
        <v>9742723</v>
      </c>
      <c r="BO486" t="s">
        <v>74</v>
      </c>
      <c r="BP486" t="s">
        <v>74</v>
      </c>
      <c r="BQ486" t="s">
        <v>74</v>
      </c>
      <c r="BR486" t="s">
        <v>98</v>
      </c>
      <c r="BS486" t="s">
        <v>6782</v>
      </c>
      <c r="BT486" t="str">
        <f>HYPERLINK("https%3A%2F%2Fwww.webofscience.com%2Fwos%2Fwoscc%2Ffull-record%2FWOS:000075658100005","View Full Record in Web of Science")</f>
        <v>View Full Record in Web of Science</v>
      </c>
    </row>
    <row r="487" spans="1:72" x14ac:dyDescent="0.15">
      <c r="A487" t="s">
        <v>72</v>
      </c>
      <c r="B487" t="s">
        <v>6783</v>
      </c>
      <c r="C487" t="s">
        <v>74</v>
      </c>
      <c r="D487" t="s">
        <v>74</v>
      </c>
      <c r="E487" t="s">
        <v>74</v>
      </c>
      <c r="F487" t="s">
        <v>6783</v>
      </c>
      <c r="G487" t="s">
        <v>74</v>
      </c>
      <c r="H487" t="s">
        <v>74</v>
      </c>
      <c r="I487" t="s">
        <v>6784</v>
      </c>
      <c r="J487" t="s">
        <v>6756</v>
      </c>
      <c r="K487" t="s">
        <v>74</v>
      </c>
      <c r="L487" t="s">
        <v>74</v>
      </c>
      <c r="M487" t="s">
        <v>77</v>
      </c>
      <c r="N487" t="s">
        <v>123</v>
      </c>
      <c r="O487" t="s">
        <v>6757</v>
      </c>
      <c r="P487" t="s">
        <v>6758</v>
      </c>
      <c r="Q487" t="s">
        <v>6759</v>
      </c>
      <c r="R487" t="s">
        <v>74</v>
      </c>
      <c r="S487" t="s">
        <v>74</v>
      </c>
      <c r="T487" t="s">
        <v>74</v>
      </c>
      <c r="U487" t="s">
        <v>6785</v>
      </c>
      <c r="V487" t="s">
        <v>6786</v>
      </c>
      <c r="W487" t="s">
        <v>6787</v>
      </c>
      <c r="X487" t="s">
        <v>6788</v>
      </c>
      <c r="Y487" t="s">
        <v>6789</v>
      </c>
      <c r="Z487" t="s">
        <v>74</v>
      </c>
      <c r="AA487" t="s">
        <v>6790</v>
      </c>
      <c r="AB487" t="s">
        <v>6791</v>
      </c>
      <c r="AC487" t="s">
        <v>74</v>
      </c>
      <c r="AD487" t="s">
        <v>74</v>
      </c>
      <c r="AE487" t="s">
        <v>74</v>
      </c>
      <c r="AF487" t="s">
        <v>74</v>
      </c>
      <c r="AG487">
        <v>35</v>
      </c>
      <c r="AH487">
        <v>55</v>
      </c>
      <c r="AI487">
        <v>57</v>
      </c>
      <c r="AJ487">
        <v>0</v>
      </c>
      <c r="AK487">
        <v>13</v>
      </c>
      <c r="AL487" t="s">
        <v>805</v>
      </c>
      <c r="AM487" t="s">
        <v>866</v>
      </c>
      <c r="AN487" t="s">
        <v>867</v>
      </c>
      <c r="AO487" t="s">
        <v>6765</v>
      </c>
      <c r="AP487" t="s">
        <v>74</v>
      </c>
      <c r="AQ487" t="s">
        <v>74</v>
      </c>
      <c r="AR487" t="s">
        <v>6766</v>
      </c>
      <c r="AS487" t="s">
        <v>6767</v>
      </c>
      <c r="AT487" t="s">
        <v>6139</v>
      </c>
      <c r="AU487">
        <v>1998</v>
      </c>
      <c r="AV487">
        <v>28</v>
      </c>
      <c r="AW487" t="s">
        <v>6768</v>
      </c>
      <c r="AX487" t="s">
        <v>74</v>
      </c>
      <c r="AY487" t="s">
        <v>74</v>
      </c>
      <c r="AZ487" t="s">
        <v>74</v>
      </c>
      <c r="BA487" t="s">
        <v>74</v>
      </c>
      <c r="BB487">
        <v>425</v>
      </c>
      <c r="BC487">
        <v>448</v>
      </c>
      <c r="BD487" t="s">
        <v>74</v>
      </c>
      <c r="BE487" t="s">
        <v>6792</v>
      </c>
      <c r="BF487" t="str">
        <f>HYPERLINK("http://dx.doi.org/10.1023/A:1006572307223","http://dx.doi.org/10.1023/A:1006572307223")</f>
        <v>http://dx.doi.org/10.1023/A:1006572307223</v>
      </c>
      <c r="BG487" t="s">
        <v>74</v>
      </c>
      <c r="BH487" t="s">
        <v>74</v>
      </c>
      <c r="BI487">
        <v>24</v>
      </c>
      <c r="BJ487" t="s">
        <v>6479</v>
      </c>
      <c r="BK487" t="s">
        <v>144</v>
      </c>
      <c r="BL487" t="s">
        <v>6480</v>
      </c>
      <c r="BM487" t="s">
        <v>6770</v>
      </c>
      <c r="BN487">
        <v>9742724</v>
      </c>
      <c r="BO487" t="s">
        <v>74</v>
      </c>
      <c r="BP487" t="s">
        <v>74</v>
      </c>
      <c r="BQ487" t="s">
        <v>74</v>
      </c>
      <c r="BR487" t="s">
        <v>98</v>
      </c>
      <c r="BS487" t="s">
        <v>6793</v>
      </c>
      <c r="BT487" t="str">
        <f>HYPERLINK("https%3A%2F%2Fwww.webofscience.com%2Fwos%2Fwoscc%2Ffull-record%2FWOS:000075658100006","View Full Record in Web of Science")</f>
        <v>View Full Record in Web of Science</v>
      </c>
    </row>
    <row r="488" spans="1:72" x14ac:dyDescent="0.15">
      <c r="A488" t="s">
        <v>72</v>
      </c>
      <c r="B488" t="s">
        <v>6794</v>
      </c>
      <c r="C488" t="s">
        <v>74</v>
      </c>
      <c r="D488" t="s">
        <v>74</v>
      </c>
      <c r="E488" t="s">
        <v>74</v>
      </c>
      <c r="F488" t="s">
        <v>6794</v>
      </c>
      <c r="G488" t="s">
        <v>74</v>
      </c>
      <c r="H488" t="s">
        <v>74</v>
      </c>
      <c r="I488" t="s">
        <v>6795</v>
      </c>
      <c r="J488" t="s">
        <v>6796</v>
      </c>
      <c r="K488" t="s">
        <v>74</v>
      </c>
      <c r="L488" t="s">
        <v>74</v>
      </c>
      <c r="M488" t="s">
        <v>77</v>
      </c>
      <c r="N488" t="s">
        <v>103</v>
      </c>
      <c r="O488" t="s">
        <v>74</v>
      </c>
      <c r="P488" t="s">
        <v>74</v>
      </c>
      <c r="Q488" t="s">
        <v>74</v>
      </c>
      <c r="R488" t="s">
        <v>74</v>
      </c>
      <c r="S488" t="s">
        <v>74</v>
      </c>
      <c r="T488" t="s">
        <v>74</v>
      </c>
      <c r="U488" t="s">
        <v>6797</v>
      </c>
      <c r="V488" t="s">
        <v>6798</v>
      </c>
      <c r="W488" t="s">
        <v>6799</v>
      </c>
      <c r="X488" t="s">
        <v>74</v>
      </c>
      <c r="Y488" t="s">
        <v>6800</v>
      </c>
      <c r="Z488" t="s">
        <v>2009</v>
      </c>
      <c r="AA488" t="s">
        <v>74</v>
      </c>
      <c r="AB488" t="s">
        <v>74</v>
      </c>
      <c r="AC488" t="s">
        <v>74</v>
      </c>
      <c r="AD488" t="s">
        <v>74</v>
      </c>
      <c r="AE488" t="s">
        <v>74</v>
      </c>
      <c r="AF488" t="s">
        <v>74</v>
      </c>
      <c r="AG488">
        <v>12</v>
      </c>
      <c r="AH488">
        <v>13</v>
      </c>
      <c r="AI488">
        <v>14</v>
      </c>
      <c r="AJ488">
        <v>0</v>
      </c>
      <c r="AK488">
        <v>7</v>
      </c>
      <c r="AL488" t="s">
        <v>948</v>
      </c>
      <c r="AM488" t="s">
        <v>278</v>
      </c>
      <c r="AN488" t="s">
        <v>3974</v>
      </c>
      <c r="AO488" t="s">
        <v>6801</v>
      </c>
      <c r="AP488" t="s">
        <v>6802</v>
      </c>
      <c r="AQ488" t="s">
        <v>74</v>
      </c>
      <c r="AR488" t="s">
        <v>6796</v>
      </c>
      <c r="AS488" t="s">
        <v>6803</v>
      </c>
      <c r="AT488" t="s">
        <v>6139</v>
      </c>
      <c r="AU488">
        <v>1998</v>
      </c>
      <c r="AV488">
        <v>32</v>
      </c>
      <c r="AW488">
        <v>4</v>
      </c>
      <c r="AX488" t="s">
        <v>74</v>
      </c>
      <c r="AY488" t="s">
        <v>74</v>
      </c>
      <c r="AZ488" t="s">
        <v>74</v>
      </c>
      <c r="BA488" t="s">
        <v>74</v>
      </c>
      <c r="BB488">
        <v>310</v>
      </c>
      <c r="BC488">
        <v>316</v>
      </c>
      <c r="BD488" t="s">
        <v>74</v>
      </c>
      <c r="BE488" t="s">
        <v>6804</v>
      </c>
      <c r="BF488" t="str">
        <f>HYPERLINK("http://dx.doi.org/10.1046/j.1365-3008.1998.d01-61.x","http://dx.doi.org/10.1046/j.1365-3008.1998.d01-61.x")</f>
        <v>http://dx.doi.org/10.1046/j.1365-3008.1998.d01-61.x</v>
      </c>
      <c r="BG488" t="s">
        <v>74</v>
      </c>
      <c r="BH488" t="s">
        <v>74</v>
      </c>
      <c r="BI488">
        <v>7</v>
      </c>
      <c r="BJ488" t="s">
        <v>2615</v>
      </c>
      <c r="BK488" t="s">
        <v>95</v>
      </c>
      <c r="BL488" t="s">
        <v>2616</v>
      </c>
      <c r="BM488" t="s">
        <v>6805</v>
      </c>
      <c r="BN488" t="s">
        <v>74</v>
      </c>
      <c r="BO488" t="s">
        <v>1089</v>
      </c>
      <c r="BP488" t="s">
        <v>74</v>
      </c>
      <c r="BQ488" t="s">
        <v>74</v>
      </c>
      <c r="BR488" t="s">
        <v>98</v>
      </c>
      <c r="BS488" t="s">
        <v>6806</v>
      </c>
      <c r="BT488" t="str">
        <f>HYPERLINK("https%3A%2F%2Fwww.webofscience.com%2Fwos%2Fwoscc%2Ffull-record%2FWOS:000076665700012","View Full Record in Web of Science")</f>
        <v>View Full Record in Web of Science</v>
      </c>
    </row>
    <row r="489" spans="1:72" x14ac:dyDescent="0.15">
      <c r="A489" t="s">
        <v>72</v>
      </c>
      <c r="B489" t="s">
        <v>6807</v>
      </c>
      <c r="C489" t="s">
        <v>74</v>
      </c>
      <c r="D489" t="s">
        <v>74</v>
      </c>
      <c r="E489" t="s">
        <v>74</v>
      </c>
      <c r="F489" t="s">
        <v>6807</v>
      </c>
      <c r="G489" t="s">
        <v>74</v>
      </c>
      <c r="H489" t="s">
        <v>74</v>
      </c>
      <c r="I489" t="s">
        <v>6808</v>
      </c>
      <c r="J489" t="s">
        <v>4597</v>
      </c>
      <c r="K489" t="s">
        <v>74</v>
      </c>
      <c r="L489" t="s">
        <v>74</v>
      </c>
      <c r="M489" t="s">
        <v>77</v>
      </c>
      <c r="N489" t="s">
        <v>103</v>
      </c>
      <c r="O489" t="s">
        <v>74</v>
      </c>
      <c r="P489" t="s">
        <v>74</v>
      </c>
      <c r="Q489" t="s">
        <v>74</v>
      </c>
      <c r="R489" t="s">
        <v>74</v>
      </c>
      <c r="S489" t="s">
        <v>74</v>
      </c>
      <c r="T489" t="s">
        <v>74</v>
      </c>
      <c r="U489" t="s">
        <v>6809</v>
      </c>
      <c r="V489" t="s">
        <v>6810</v>
      </c>
      <c r="W489" t="s">
        <v>6811</v>
      </c>
      <c r="X489" t="s">
        <v>6812</v>
      </c>
      <c r="Y489" t="s">
        <v>6813</v>
      </c>
      <c r="Z489" t="s">
        <v>6814</v>
      </c>
      <c r="AA489" t="s">
        <v>74</v>
      </c>
      <c r="AB489" t="s">
        <v>74</v>
      </c>
      <c r="AC489" t="s">
        <v>74</v>
      </c>
      <c r="AD489" t="s">
        <v>74</v>
      </c>
      <c r="AE489" t="s">
        <v>74</v>
      </c>
      <c r="AF489" t="s">
        <v>74</v>
      </c>
      <c r="AG489">
        <v>94</v>
      </c>
      <c r="AH489">
        <v>62</v>
      </c>
      <c r="AI489">
        <v>68</v>
      </c>
      <c r="AJ489">
        <v>2</v>
      </c>
      <c r="AK489">
        <v>12</v>
      </c>
      <c r="AL489" t="s">
        <v>966</v>
      </c>
      <c r="AM489" t="s">
        <v>967</v>
      </c>
      <c r="AN489" t="s">
        <v>968</v>
      </c>
      <c r="AO489" t="s">
        <v>4606</v>
      </c>
      <c r="AP489" t="s">
        <v>74</v>
      </c>
      <c r="AQ489" t="s">
        <v>74</v>
      </c>
      <c r="AR489" t="s">
        <v>4597</v>
      </c>
      <c r="AS489" t="s">
        <v>4608</v>
      </c>
      <c r="AT489" t="s">
        <v>6139</v>
      </c>
      <c r="AU489">
        <v>1998</v>
      </c>
      <c r="AV489">
        <v>13</v>
      </c>
      <c r="AW489">
        <v>5</v>
      </c>
      <c r="AX489" t="s">
        <v>74</v>
      </c>
      <c r="AY489" t="s">
        <v>74</v>
      </c>
      <c r="AZ489" t="s">
        <v>74</v>
      </c>
      <c r="BA489" t="s">
        <v>74</v>
      </c>
      <c r="BB489">
        <v>471</v>
      </c>
      <c r="BC489">
        <v>490</v>
      </c>
      <c r="BD489" t="s">
        <v>74</v>
      </c>
      <c r="BE489" t="s">
        <v>6815</v>
      </c>
      <c r="BF489" t="str">
        <f>HYPERLINK("http://dx.doi.org/10.1029/98PA02131","http://dx.doi.org/10.1029/98PA02131")</f>
        <v>http://dx.doi.org/10.1029/98PA02131</v>
      </c>
      <c r="BG489" t="s">
        <v>74</v>
      </c>
      <c r="BH489" t="s">
        <v>74</v>
      </c>
      <c r="BI489">
        <v>20</v>
      </c>
      <c r="BJ489" t="s">
        <v>4610</v>
      </c>
      <c r="BK489" t="s">
        <v>95</v>
      </c>
      <c r="BL489" t="s">
        <v>3306</v>
      </c>
      <c r="BM489" t="s">
        <v>6816</v>
      </c>
      <c r="BN489" t="s">
        <v>74</v>
      </c>
      <c r="BO489" t="s">
        <v>74</v>
      </c>
      <c r="BP489" t="s">
        <v>74</v>
      </c>
      <c r="BQ489" t="s">
        <v>74</v>
      </c>
      <c r="BR489" t="s">
        <v>98</v>
      </c>
      <c r="BS489" t="s">
        <v>6817</v>
      </c>
      <c r="BT489" t="str">
        <f>HYPERLINK("https%3A%2F%2Fwww.webofscience.com%2Fwos%2Fwoscc%2Ffull-record%2FWOS:000076402300005","View Full Record in Web of Science")</f>
        <v>View Full Record in Web of Science</v>
      </c>
    </row>
    <row r="490" spans="1:72" x14ac:dyDescent="0.15">
      <c r="A490" t="s">
        <v>72</v>
      </c>
      <c r="B490" t="s">
        <v>6818</v>
      </c>
      <c r="C490" t="s">
        <v>74</v>
      </c>
      <c r="D490" t="s">
        <v>74</v>
      </c>
      <c r="E490" t="s">
        <v>74</v>
      </c>
      <c r="F490" t="s">
        <v>6818</v>
      </c>
      <c r="G490" t="s">
        <v>74</v>
      </c>
      <c r="H490" t="s">
        <v>74</v>
      </c>
      <c r="I490" t="s">
        <v>6819</v>
      </c>
      <c r="J490" t="s">
        <v>5818</v>
      </c>
      <c r="K490" t="s">
        <v>74</v>
      </c>
      <c r="L490" t="s">
        <v>74</v>
      </c>
      <c r="M490" t="s">
        <v>77</v>
      </c>
      <c r="N490" t="s">
        <v>103</v>
      </c>
      <c r="O490" t="s">
        <v>74</v>
      </c>
      <c r="P490" t="s">
        <v>74</v>
      </c>
      <c r="Q490" t="s">
        <v>74</v>
      </c>
      <c r="R490" t="s">
        <v>74</v>
      </c>
      <c r="S490" t="s">
        <v>74</v>
      </c>
      <c r="T490" t="s">
        <v>6820</v>
      </c>
      <c r="U490" t="s">
        <v>6821</v>
      </c>
      <c r="V490" t="s">
        <v>6822</v>
      </c>
      <c r="W490" t="s">
        <v>6823</v>
      </c>
      <c r="X490" t="s">
        <v>6824</v>
      </c>
      <c r="Y490" t="s">
        <v>6825</v>
      </c>
      <c r="Z490" t="s">
        <v>74</v>
      </c>
      <c r="AA490" t="s">
        <v>6826</v>
      </c>
      <c r="AB490" t="s">
        <v>6827</v>
      </c>
      <c r="AC490" t="s">
        <v>74</v>
      </c>
      <c r="AD490" t="s">
        <v>74</v>
      </c>
      <c r="AE490" t="s">
        <v>74</v>
      </c>
      <c r="AF490" t="s">
        <v>74</v>
      </c>
      <c r="AG490">
        <v>35</v>
      </c>
      <c r="AH490">
        <v>75</v>
      </c>
      <c r="AI490">
        <v>84</v>
      </c>
      <c r="AJ490">
        <v>1</v>
      </c>
      <c r="AK490">
        <v>38</v>
      </c>
      <c r="AL490" t="s">
        <v>445</v>
      </c>
      <c r="AM490" t="s">
        <v>229</v>
      </c>
      <c r="AN490" t="s">
        <v>446</v>
      </c>
      <c r="AO490" t="s">
        <v>5826</v>
      </c>
      <c r="AP490" t="s">
        <v>74</v>
      </c>
      <c r="AQ490" t="s">
        <v>74</v>
      </c>
      <c r="AR490" t="s">
        <v>5818</v>
      </c>
      <c r="AS490" t="s">
        <v>5827</v>
      </c>
      <c r="AT490" t="s">
        <v>6139</v>
      </c>
      <c r="AU490">
        <v>1998</v>
      </c>
      <c r="AV490">
        <v>49</v>
      </c>
      <c r="AW490">
        <v>4</v>
      </c>
      <c r="AX490" t="s">
        <v>74</v>
      </c>
      <c r="AY490" t="s">
        <v>74</v>
      </c>
      <c r="AZ490" t="s">
        <v>74</v>
      </c>
      <c r="BA490" t="s">
        <v>74</v>
      </c>
      <c r="BB490">
        <v>999</v>
      </c>
      <c r="BC490">
        <v>1007</v>
      </c>
      <c r="BD490" t="s">
        <v>74</v>
      </c>
      <c r="BE490" t="s">
        <v>6828</v>
      </c>
      <c r="BF490" t="str">
        <f>HYPERLINK("http://dx.doi.org/10.1016/S0031-9422(97)01068-6","http://dx.doi.org/10.1016/S0031-9422(97)01068-6")</f>
        <v>http://dx.doi.org/10.1016/S0031-9422(97)01068-6</v>
      </c>
      <c r="BG490" t="s">
        <v>74</v>
      </c>
      <c r="BH490" t="s">
        <v>74</v>
      </c>
      <c r="BI490">
        <v>9</v>
      </c>
      <c r="BJ490" t="s">
        <v>5829</v>
      </c>
      <c r="BK490" t="s">
        <v>95</v>
      </c>
      <c r="BL490" t="s">
        <v>5829</v>
      </c>
      <c r="BM490" t="s">
        <v>6829</v>
      </c>
      <c r="BN490" t="s">
        <v>74</v>
      </c>
      <c r="BO490" t="s">
        <v>74</v>
      </c>
      <c r="BP490" t="s">
        <v>74</v>
      </c>
      <c r="BQ490" t="s">
        <v>74</v>
      </c>
      <c r="BR490" t="s">
        <v>98</v>
      </c>
      <c r="BS490" t="s">
        <v>6830</v>
      </c>
      <c r="BT490" t="str">
        <f>HYPERLINK("https%3A%2F%2Fwww.webofscience.com%2Fwos%2Fwoscc%2Ffull-record%2FWOS:000076404400009","View Full Record in Web of Science")</f>
        <v>View Full Record in Web of Science</v>
      </c>
    </row>
    <row r="491" spans="1:72" x14ac:dyDescent="0.15">
      <c r="A491" t="s">
        <v>72</v>
      </c>
      <c r="B491" t="s">
        <v>6831</v>
      </c>
      <c r="C491" t="s">
        <v>74</v>
      </c>
      <c r="D491" t="s">
        <v>74</v>
      </c>
      <c r="E491" t="s">
        <v>74</v>
      </c>
      <c r="F491" t="s">
        <v>6831</v>
      </c>
      <c r="G491" t="s">
        <v>74</v>
      </c>
      <c r="H491" t="s">
        <v>74</v>
      </c>
      <c r="I491" t="s">
        <v>6832</v>
      </c>
      <c r="J491" t="s">
        <v>2603</v>
      </c>
      <c r="K491" t="s">
        <v>74</v>
      </c>
      <c r="L491" t="s">
        <v>74</v>
      </c>
      <c r="M491" t="s">
        <v>77</v>
      </c>
      <c r="N491" t="s">
        <v>103</v>
      </c>
      <c r="O491" t="s">
        <v>74</v>
      </c>
      <c r="P491" t="s">
        <v>74</v>
      </c>
      <c r="Q491" t="s">
        <v>74</v>
      </c>
      <c r="R491" t="s">
        <v>74</v>
      </c>
      <c r="S491" t="s">
        <v>74</v>
      </c>
      <c r="T491" t="s">
        <v>74</v>
      </c>
      <c r="U491" t="s">
        <v>6833</v>
      </c>
      <c r="V491" t="s">
        <v>6834</v>
      </c>
      <c r="W491" t="s">
        <v>6835</v>
      </c>
      <c r="X491" t="s">
        <v>6836</v>
      </c>
      <c r="Y491" t="s">
        <v>6837</v>
      </c>
      <c r="Z491" t="s">
        <v>74</v>
      </c>
      <c r="AA491" t="s">
        <v>6838</v>
      </c>
      <c r="AB491" t="s">
        <v>6839</v>
      </c>
      <c r="AC491" t="s">
        <v>74</v>
      </c>
      <c r="AD491" t="s">
        <v>74</v>
      </c>
      <c r="AE491" t="s">
        <v>74</v>
      </c>
      <c r="AF491" t="s">
        <v>74</v>
      </c>
      <c r="AG491">
        <v>36</v>
      </c>
      <c r="AH491">
        <v>144</v>
      </c>
      <c r="AI491">
        <v>154</v>
      </c>
      <c r="AJ491">
        <v>0</v>
      </c>
      <c r="AK491">
        <v>38</v>
      </c>
      <c r="AL491" t="s">
        <v>887</v>
      </c>
      <c r="AM491" t="s">
        <v>278</v>
      </c>
      <c r="AN491" t="s">
        <v>888</v>
      </c>
      <c r="AO491" t="s">
        <v>2610</v>
      </c>
      <c r="AP491" t="s">
        <v>74</v>
      </c>
      <c r="AQ491" t="s">
        <v>74</v>
      </c>
      <c r="AR491" t="s">
        <v>2612</v>
      </c>
      <c r="AS491" t="s">
        <v>2613</v>
      </c>
      <c r="AT491" t="s">
        <v>6139</v>
      </c>
      <c r="AU491">
        <v>1998</v>
      </c>
      <c r="AV491">
        <v>20</v>
      </c>
      <c r="AW491">
        <v>4</v>
      </c>
      <c r="AX491" t="s">
        <v>74</v>
      </c>
      <c r="AY491" t="s">
        <v>74</v>
      </c>
      <c r="AZ491" t="s">
        <v>74</v>
      </c>
      <c r="BA491" t="s">
        <v>74</v>
      </c>
      <c r="BB491">
        <v>248</v>
      </c>
      <c r="BC491">
        <v>258</v>
      </c>
      <c r="BD491" t="s">
        <v>74</v>
      </c>
      <c r="BE491" t="s">
        <v>6840</v>
      </c>
      <c r="BF491" t="str">
        <f>HYPERLINK("http://dx.doi.org/10.1007/s003000050301","http://dx.doi.org/10.1007/s003000050301")</f>
        <v>http://dx.doi.org/10.1007/s003000050301</v>
      </c>
      <c r="BG491" t="s">
        <v>74</v>
      </c>
      <c r="BH491" t="s">
        <v>74</v>
      </c>
      <c r="BI491">
        <v>11</v>
      </c>
      <c r="BJ491" t="s">
        <v>2615</v>
      </c>
      <c r="BK491" t="s">
        <v>95</v>
      </c>
      <c r="BL491" t="s">
        <v>2616</v>
      </c>
      <c r="BM491" t="s">
        <v>6841</v>
      </c>
      <c r="BN491" t="s">
        <v>74</v>
      </c>
      <c r="BO491" t="s">
        <v>74</v>
      </c>
      <c r="BP491" t="s">
        <v>74</v>
      </c>
      <c r="BQ491" t="s">
        <v>74</v>
      </c>
      <c r="BR491" t="s">
        <v>98</v>
      </c>
      <c r="BS491" t="s">
        <v>6842</v>
      </c>
      <c r="BT491" t="str">
        <f>HYPERLINK("https%3A%2F%2Fwww.webofscience.com%2Fwos%2Fwoscc%2Ffull-record%2FWOS:000076131700002","View Full Record in Web of Science")</f>
        <v>View Full Record in Web of Science</v>
      </c>
    </row>
    <row r="492" spans="1:72" x14ac:dyDescent="0.15">
      <c r="A492" t="s">
        <v>72</v>
      </c>
      <c r="B492" t="s">
        <v>6843</v>
      </c>
      <c r="C492" t="s">
        <v>74</v>
      </c>
      <c r="D492" t="s">
        <v>74</v>
      </c>
      <c r="E492" t="s">
        <v>74</v>
      </c>
      <c r="F492" t="s">
        <v>6843</v>
      </c>
      <c r="G492" t="s">
        <v>74</v>
      </c>
      <c r="H492" t="s">
        <v>74</v>
      </c>
      <c r="I492" t="s">
        <v>6844</v>
      </c>
      <c r="J492" t="s">
        <v>2603</v>
      </c>
      <c r="K492" t="s">
        <v>74</v>
      </c>
      <c r="L492" t="s">
        <v>74</v>
      </c>
      <c r="M492" t="s">
        <v>77</v>
      </c>
      <c r="N492" t="s">
        <v>103</v>
      </c>
      <c r="O492" t="s">
        <v>74</v>
      </c>
      <c r="P492" t="s">
        <v>74</v>
      </c>
      <c r="Q492" t="s">
        <v>74</v>
      </c>
      <c r="R492" t="s">
        <v>74</v>
      </c>
      <c r="S492" t="s">
        <v>74</v>
      </c>
      <c r="T492" t="s">
        <v>74</v>
      </c>
      <c r="U492" t="s">
        <v>6845</v>
      </c>
      <c r="V492" t="s">
        <v>6846</v>
      </c>
      <c r="W492" t="s">
        <v>6847</v>
      </c>
      <c r="X492" t="s">
        <v>6848</v>
      </c>
      <c r="Y492" t="s">
        <v>5384</v>
      </c>
      <c r="Z492" t="s">
        <v>74</v>
      </c>
      <c r="AA492" t="s">
        <v>74</v>
      </c>
      <c r="AB492" t="s">
        <v>74</v>
      </c>
      <c r="AC492" t="s">
        <v>74</v>
      </c>
      <c r="AD492" t="s">
        <v>74</v>
      </c>
      <c r="AE492" t="s">
        <v>74</v>
      </c>
      <c r="AF492" t="s">
        <v>74</v>
      </c>
      <c r="AG492">
        <v>61</v>
      </c>
      <c r="AH492">
        <v>54</v>
      </c>
      <c r="AI492">
        <v>58</v>
      </c>
      <c r="AJ492">
        <v>1</v>
      </c>
      <c r="AK492">
        <v>19</v>
      </c>
      <c r="AL492" t="s">
        <v>887</v>
      </c>
      <c r="AM492" t="s">
        <v>278</v>
      </c>
      <c r="AN492" t="s">
        <v>888</v>
      </c>
      <c r="AO492" t="s">
        <v>2610</v>
      </c>
      <c r="AP492" t="s">
        <v>74</v>
      </c>
      <c r="AQ492" t="s">
        <v>74</v>
      </c>
      <c r="AR492" t="s">
        <v>2612</v>
      </c>
      <c r="AS492" t="s">
        <v>2613</v>
      </c>
      <c r="AT492" t="s">
        <v>6139</v>
      </c>
      <c r="AU492">
        <v>1998</v>
      </c>
      <c r="AV492">
        <v>20</v>
      </c>
      <c r="AW492">
        <v>4</v>
      </c>
      <c r="AX492" t="s">
        <v>74</v>
      </c>
      <c r="AY492" t="s">
        <v>74</v>
      </c>
      <c r="AZ492" t="s">
        <v>74</v>
      </c>
      <c r="BA492" t="s">
        <v>74</v>
      </c>
      <c r="BB492">
        <v>259</v>
      </c>
      <c r="BC492">
        <v>272</v>
      </c>
      <c r="BD492" t="s">
        <v>74</v>
      </c>
      <c r="BE492" t="s">
        <v>6849</v>
      </c>
      <c r="BF492" t="str">
        <f>HYPERLINK("http://dx.doi.org/10.1007/s003000050302","http://dx.doi.org/10.1007/s003000050302")</f>
        <v>http://dx.doi.org/10.1007/s003000050302</v>
      </c>
      <c r="BG492" t="s">
        <v>74</v>
      </c>
      <c r="BH492" t="s">
        <v>74</v>
      </c>
      <c r="BI492">
        <v>14</v>
      </c>
      <c r="BJ492" t="s">
        <v>2615</v>
      </c>
      <c r="BK492" t="s">
        <v>95</v>
      </c>
      <c r="BL492" t="s">
        <v>2616</v>
      </c>
      <c r="BM492" t="s">
        <v>6841</v>
      </c>
      <c r="BN492" t="s">
        <v>74</v>
      </c>
      <c r="BO492" t="s">
        <v>74</v>
      </c>
      <c r="BP492" t="s">
        <v>74</v>
      </c>
      <c r="BQ492" t="s">
        <v>74</v>
      </c>
      <c r="BR492" t="s">
        <v>98</v>
      </c>
      <c r="BS492" t="s">
        <v>6850</v>
      </c>
      <c r="BT492" t="str">
        <f>HYPERLINK("https%3A%2F%2Fwww.webofscience.com%2Fwos%2Fwoscc%2Ffull-record%2FWOS:000076131700003","View Full Record in Web of Science")</f>
        <v>View Full Record in Web of Science</v>
      </c>
    </row>
    <row r="493" spans="1:72" x14ac:dyDescent="0.15">
      <c r="A493" t="s">
        <v>72</v>
      </c>
      <c r="B493" t="s">
        <v>6851</v>
      </c>
      <c r="C493" t="s">
        <v>74</v>
      </c>
      <c r="D493" t="s">
        <v>74</v>
      </c>
      <c r="E493" t="s">
        <v>74</v>
      </c>
      <c r="F493" t="s">
        <v>6851</v>
      </c>
      <c r="G493" t="s">
        <v>74</v>
      </c>
      <c r="H493" t="s">
        <v>74</v>
      </c>
      <c r="I493" t="s">
        <v>6852</v>
      </c>
      <c r="J493" t="s">
        <v>2603</v>
      </c>
      <c r="K493" t="s">
        <v>74</v>
      </c>
      <c r="L493" t="s">
        <v>74</v>
      </c>
      <c r="M493" t="s">
        <v>77</v>
      </c>
      <c r="N493" t="s">
        <v>103</v>
      </c>
      <c r="O493" t="s">
        <v>74</v>
      </c>
      <c r="P493" t="s">
        <v>74</v>
      </c>
      <c r="Q493" t="s">
        <v>74</v>
      </c>
      <c r="R493" t="s">
        <v>74</v>
      </c>
      <c r="S493" t="s">
        <v>74</v>
      </c>
      <c r="T493" t="s">
        <v>74</v>
      </c>
      <c r="U493" t="s">
        <v>6853</v>
      </c>
      <c r="V493" t="s">
        <v>6854</v>
      </c>
      <c r="W493" t="s">
        <v>5858</v>
      </c>
      <c r="X493" t="s">
        <v>2975</v>
      </c>
      <c r="Y493" t="s">
        <v>6855</v>
      </c>
      <c r="Z493" t="s">
        <v>74</v>
      </c>
      <c r="AA493" t="s">
        <v>5851</v>
      </c>
      <c r="AB493" t="s">
        <v>6856</v>
      </c>
      <c r="AC493" t="s">
        <v>74</v>
      </c>
      <c r="AD493" t="s">
        <v>74</v>
      </c>
      <c r="AE493" t="s">
        <v>74</v>
      </c>
      <c r="AF493" t="s">
        <v>74</v>
      </c>
      <c r="AG493">
        <v>39</v>
      </c>
      <c r="AH493">
        <v>27</v>
      </c>
      <c r="AI493">
        <v>28</v>
      </c>
      <c r="AJ493">
        <v>0</v>
      </c>
      <c r="AK493">
        <v>14</v>
      </c>
      <c r="AL493" t="s">
        <v>887</v>
      </c>
      <c r="AM493" t="s">
        <v>278</v>
      </c>
      <c r="AN493" t="s">
        <v>888</v>
      </c>
      <c r="AO493" t="s">
        <v>2610</v>
      </c>
      <c r="AP493" t="s">
        <v>74</v>
      </c>
      <c r="AQ493" t="s">
        <v>74</v>
      </c>
      <c r="AR493" t="s">
        <v>2612</v>
      </c>
      <c r="AS493" t="s">
        <v>2613</v>
      </c>
      <c r="AT493" t="s">
        <v>6139</v>
      </c>
      <c r="AU493">
        <v>1998</v>
      </c>
      <c r="AV493">
        <v>20</v>
      </c>
      <c r="AW493">
        <v>4</v>
      </c>
      <c r="AX493" t="s">
        <v>74</v>
      </c>
      <c r="AY493" t="s">
        <v>74</v>
      </c>
      <c r="AZ493" t="s">
        <v>74</v>
      </c>
      <c r="BA493" t="s">
        <v>74</v>
      </c>
      <c r="BB493">
        <v>273</v>
      </c>
      <c r="BC493">
        <v>280</v>
      </c>
      <c r="BD493" t="s">
        <v>74</v>
      </c>
      <c r="BE493" t="s">
        <v>6857</v>
      </c>
      <c r="BF493" t="str">
        <f>HYPERLINK("http://dx.doi.org/10.1007/s003000050303","http://dx.doi.org/10.1007/s003000050303")</f>
        <v>http://dx.doi.org/10.1007/s003000050303</v>
      </c>
      <c r="BG493" t="s">
        <v>74</v>
      </c>
      <c r="BH493" t="s">
        <v>74</v>
      </c>
      <c r="BI493">
        <v>8</v>
      </c>
      <c r="BJ493" t="s">
        <v>2615</v>
      </c>
      <c r="BK493" t="s">
        <v>95</v>
      </c>
      <c r="BL493" t="s">
        <v>2616</v>
      </c>
      <c r="BM493" t="s">
        <v>6841</v>
      </c>
      <c r="BN493" t="s">
        <v>74</v>
      </c>
      <c r="BO493" t="s">
        <v>74</v>
      </c>
      <c r="BP493" t="s">
        <v>74</v>
      </c>
      <c r="BQ493" t="s">
        <v>74</v>
      </c>
      <c r="BR493" t="s">
        <v>98</v>
      </c>
      <c r="BS493" t="s">
        <v>6858</v>
      </c>
      <c r="BT493" t="str">
        <f>HYPERLINK("https%3A%2F%2Fwww.webofscience.com%2Fwos%2Fwoscc%2Ffull-record%2FWOS:000076131700004","View Full Record in Web of Science")</f>
        <v>View Full Record in Web of Science</v>
      </c>
    </row>
    <row r="494" spans="1:72" x14ac:dyDescent="0.15">
      <c r="A494" t="s">
        <v>72</v>
      </c>
      <c r="B494" t="s">
        <v>6859</v>
      </c>
      <c r="C494" t="s">
        <v>74</v>
      </c>
      <c r="D494" t="s">
        <v>74</v>
      </c>
      <c r="E494" t="s">
        <v>74</v>
      </c>
      <c r="F494" t="s">
        <v>6859</v>
      </c>
      <c r="G494" t="s">
        <v>74</v>
      </c>
      <c r="H494" t="s">
        <v>74</v>
      </c>
      <c r="I494" t="s">
        <v>6860</v>
      </c>
      <c r="J494" t="s">
        <v>2603</v>
      </c>
      <c r="K494" t="s">
        <v>74</v>
      </c>
      <c r="L494" t="s">
        <v>74</v>
      </c>
      <c r="M494" t="s">
        <v>77</v>
      </c>
      <c r="N494" t="s">
        <v>978</v>
      </c>
      <c r="O494" t="s">
        <v>74</v>
      </c>
      <c r="P494" t="s">
        <v>74</v>
      </c>
      <c r="Q494" t="s">
        <v>74</v>
      </c>
      <c r="R494" t="s">
        <v>74</v>
      </c>
      <c r="S494" t="s">
        <v>74</v>
      </c>
      <c r="T494" t="s">
        <v>74</v>
      </c>
      <c r="U494" t="s">
        <v>74</v>
      </c>
      <c r="V494" t="s">
        <v>74</v>
      </c>
      <c r="W494" t="s">
        <v>6861</v>
      </c>
      <c r="X494" t="s">
        <v>6862</v>
      </c>
      <c r="Y494" t="s">
        <v>6863</v>
      </c>
      <c r="Z494" t="s">
        <v>74</v>
      </c>
      <c r="AA494" t="s">
        <v>6864</v>
      </c>
      <c r="AB494" t="s">
        <v>6865</v>
      </c>
      <c r="AC494" t="s">
        <v>74</v>
      </c>
      <c r="AD494" t="s">
        <v>74</v>
      </c>
      <c r="AE494" t="s">
        <v>74</v>
      </c>
      <c r="AF494" t="s">
        <v>74</v>
      </c>
      <c r="AG494">
        <v>1</v>
      </c>
      <c r="AH494">
        <v>7</v>
      </c>
      <c r="AI494">
        <v>8</v>
      </c>
      <c r="AJ494">
        <v>0</v>
      </c>
      <c r="AK494">
        <v>1</v>
      </c>
      <c r="AL494" t="s">
        <v>805</v>
      </c>
      <c r="AM494" t="s">
        <v>278</v>
      </c>
      <c r="AN494" t="s">
        <v>806</v>
      </c>
      <c r="AO494" t="s">
        <v>2610</v>
      </c>
      <c r="AP494" t="s">
        <v>74</v>
      </c>
      <c r="AQ494" t="s">
        <v>74</v>
      </c>
      <c r="AR494" t="s">
        <v>2612</v>
      </c>
      <c r="AS494" t="s">
        <v>2613</v>
      </c>
      <c r="AT494" t="s">
        <v>6139</v>
      </c>
      <c r="AU494">
        <v>1998</v>
      </c>
      <c r="AV494">
        <v>20</v>
      </c>
      <c r="AW494">
        <v>4</v>
      </c>
      <c r="AX494" t="s">
        <v>74</v>
      </c>
      <c r="AY494" t="s">
        <v>74</v>
      </c>
      <c r="AZ494" t="s">
        <v>74</v>
      </c>
      <c r="BA494" t="s">
        <v>74</v>
      </c>
      <c r="BB494">
        <v>292</v>
      </c>
      <c r="BC494">
        <v>292</v>
      </c>
      <c r="BD494" t="s">
        <v>74</v>
      </c>
      <c r="BE494" t="s">
        <v>74</v>
      </c>
      <c r="BF494" t="s">
        <v>74</v>
      </c>
      <c r="BG494" t="s">
        <v>74</v>
      </c>
      <c r="BH494" t="s">
        <v>74</v>
      </c>
      <c r="BI494">
        <v>1</v>
      </c>
      <c r="BJ494" t="s">
        <v>2615</v>
      </c>
      <c r="BK494" t="s">
        <v>95</v>
      </c>
      <c r="BL494" t="s">
        <v>2616</v>
      </c>
      <c r="BM494" t="s">
        <v>6841</v>
      </c>
      <c r="BN494" t="s">
        <v>74</v>
      </c>
      <c r="BO494" t="s">
        <v>74</v>
      </c>
      <c r="BP494" t="s">
        <v>74</v>
      </c>
      <c r="BQ494" t="s">
        <v>74</v>
      </c>
      <c r="BR494" t="s">
        <v>98</v>
      </c>
      <c r="BS494" t="s">
        <v>6866</v>
      </c>
      <c r="BT494" t="str">
        <f>HYPERLINK("https%3A%2F%2Fwww.webofscience.com%2Fwos%2Fwoscc%2Ffull-record%2FWOS:000076131700006","View Full Record in Web of Science")</f>
        <v>View Full Record in Web of Science</v>
      </c>
    </row>
    <row r="495" spans="1:72" x14ac:dyDescent="0.15">
      <c r="A495" t="s">
        <v>72</v>
      </c>
      <c r="B495" t="s">
        <v>6867</v>
      </c>
      <c r="C495" t="s">
        <v>74</v>
      </c>
      <c r="D495" t="s">
        <v>74</v>
      </c>
      <c r="E495" t="s">
        <v>74</v>
      </c>
      <c r="F495" t="s">
        <v>6867</v>
      </c>
      <c r="G495" t="s">
        <v>74</v>
      </c>
      <c r="H495" t="s">
        <v>74</v>
      </c>
      <c r="I495" t="s">
        <v>6868</v>
      </c>
      <c r="J495" t="s">
        <v>3198</v>
      </c>
      <c r="K495" t="s">
        <v>74</v>
      </c>
      <c r="L495" t="s">
        <v>74</v>
      </c>
      <c r="M495" t="s">
        <v>77</v>
      </c>
      <c r="N495" t="s">
        <v>103</v>
      </c>
      <c r="O495" t="s">
        <v>74</v>
      </c>
      <c r="P495" t="s">
        <v>74</v>
      </c>
      <c r="Q495" t="s">
        <v>74</v>
      </c>
      <c r="R495" t="s">
        <v>74</v>
      </c>
      <c r="S495" t="s">
        <v>74</v>
      </c>
      <c r="T495" t="s">
        <v>6869</v>
      </c>
      <c r="U495" t="s">
        <v>6870</v>
      </c>
      <c r="V495" t="s">
        <v>6871</v>
      </c>
      <c r="W495" t="s">
        <v>6872</v>
      </c>
      <c r="X495" t="s">
        <v>6873</v>
      </c>
      <c r="Y495" t="s">
        <v>6874</v>
      </c>
      <c r="Z495" t="s">
        <v>74</v>
      </c>
      <c r="AA495" t="s">
        <v>74</v>
      </c>
      <c r="AB495" t="s">
        <v>74</v>
      </c>
      <c r="AC495" t="s">
        <v>74</v>
      </c>
      <c r="AD495" t="s">
        <v>74</v>
      </c>
      <c r="AE495" t="s">
        <v>74</v>
      </c>
      <c r="AF495" t="s">
        <v>74</v>
      </c>
      <c r="AG495">
        <v>34</v>
      </c>
      <c r="AH495">
        <v>11</v>
      </c>
      <c r="AI495">
        <v>11</v>
      </c>
      <c r="AJ495">
        <v>0</v>
      </c>
      <c r="AK495">
        <v>1</v>
      </c>
      <c r="AL495" t="s">
        <v>6875</v>
      </c>
      <c r="AM495" t="s">
        <v>580</v>
      </c>
      <c r="AN495" t="s">
        <v>6876</v>
      </c>
      <c r="AO495" t="s">
        <v>3207</v>
      </c>
      <c r="AP495" t="s">
        <v>74</v>
      </c>
      <c r="AQ495" t="s">
        <v>74</v>
      </c>
      <c r="AR495" t="s">
        <v>3209</v>
      </c>
      <c r="AS495" t="s">
        <v>3210</v>
      </c>
      <c r="AT495" t="s">
        <v>6139</v>
      </c>
      <c r="AU495">
        <v>1998</v>
      </c>
      <c r="AV495">
        <v>124</v>
      </c>
      <c r="AW495">
        <v>552</v>
      </c>
      <c r="AX495" t="s">
        <v>6877</v>
      </c>
      <c r="AY495" t="s">
        <v>74</v>
      </c>
      <c r="AZ495" t="s">
        <v>74</v>
      </c>
      <c r="BA495" t="s">
        <v>74</v>
      </c>
      <c r="BB495">
        <v>2625</v>
      </c>
      <c r="BC495">
        <v>2644</v>
      </c>
      <c r="BD495" t="s">
        <v>74</v>
      </c>
      <c r="BE495" t="s">
        <v>6878</v>
      </c>
      <c r="BF495" t="str">
        <f>HYPERLINK("http://dx.doi.org/10.1256/smsqj.55204","http://dx.doi.org/10.1256/smsqj.55204")</f>
        <v>http://dx.doi.org/10.1256/smsqj.55204</v>
      </c>
      <c r="BG495" t="s">
        <v>74</v>
      </c>
      <c r="BH495" t="s">
        <v>74</v>
      </c>
      <c r="BI495">
        <v>20</v>
      </c>
      <c r="BJ495" t="s">
        <v>1418</v>
      </c>
      <c r="BK495" t="s">
        <v>95</v>
      </c>
      <c r="BL495" t="s">
        <v>1418</v>
      </c>
      <c r="BM495" t="s">
        <v>6879</v>
      </c>
      <c r="BN495" t="s">
        <v>74</v>
      </c>
      <c r="BO495" t="s">
        <v>74</v>
      </c>
      <c r="BP495" t="s">
        <v>74</v>
      </c>
      <c r="BQ495" t="s">
        <v>74</v>
      </c>
      <c r="BR495" t="s">
        <v>98</v>
      </c>
      <c r="BS495" t="s">
        <v>6880</v>
      </c>
      <c r="BT495" t="str">
        <f>HYPERLINK("https%3A%2F%2Fwww.webofscience.com%2Fwos%2Fwoscc%2Ffull-record%2FWOS:000078052700004","View Full Record in Web of Science")</f>
        <v>View Full Record in Web of Science</v>
      </c>
    </row>
    <row r="496" spans="1:72" x14ac:dyDescent="0.15">
      <c r="A496" t="s">
        <v>72</v>
      </c>
      <c r="B496" t="s">
        <v>6881</v>
      </c>
      <c r="C496" t="s">
        <v>74</v>
      </c>
      <c r="D496" t="s">
        <v>74</v>
      </c>
      <c r="E496" t="s">
        <v>74</v>
      </c>
      <c r="F496" t="s">
        <v>6881</v>
      </c>
      <c r="G496" t="s">
        <v>74</v>
      </c>
      <c r="H496" t="s">
        <v>74</v>
      </c>
      <c r="I496" t="s">
        <v>6882</v>
      </c>
      <c r="J496" t="s">
        <v>3198</v>
      </c>
      <c r="K496" t="s">
        <v>74</v>
      </c>
      <c r="L496" t="s">
        <v>74</v>
      </c>
      <c r="M496" t="s">
        <v>77</v>
      </c>
      <c r="N496" t="s">
        <v>103</v>
      </c>
      <c r="O496" t="s">
        <v>74</v>
      </c>
      <c r="P496" t="s">
        <v>74</v>
      </c>
      <c r="Q496" t="s">
        <v>74</v>
      </c>
      <c r="R496" t="s">
        <v>74</v>
      </c>
      <c r="S496" t="s">
        <v>74</v>
      </c>
      <c r="T496" t="s">
        <v>6883</v>
      </c>
      <c r="U496" t="s">
        <v>6884</v>
      </c>
      <c r="V496" t="s">
        <v>6885</v>
      </c>
      <c r="W496" t="s">
        <v>6886</v>
      </c>
      <c r="X496" t="s">
        <v>6887</v>
      </c>
      <c r="Y496" t="s">
        <v>6888</v>
      </c>
      <c r="Z496" t="s">
        <v>74</v>
      </c>
      <c r="AA496" t="s">
        <v>74</v>
      </c>
      <c r="AB496" t="s">
        <v>74</v>
      </c>
      <c r="AC496" t="s">
        <v>74</v>
      </c>
      <c r="AD496" t="s">
        <v>74</v>
      </c>
      <c r="AE496" t="s">
        <v>74</v>
      </c>
      <c r="AF496" t="s">
        <v>74</v>
      </c>
      <c r="AG496">
        <v>53</v>
      </c>
      <c r="AH496">
        <v>13</v>
      </c>
      <c r="AI496">
        <v>14</v>
      </c>
      <c r="AJ496">
        <v>0</v>
      </c>
      <c r="AK496">
        <v>0</v>
      </c>
      <c r="AL496" t="s">
        <v>928</v>
      </c>
      <c r="AM496" t="s">
        <v>656</v>
      </c>
      <c r="AN496" t="s">
        <v>657</v>
      </c>
      <c r="AO496" t="s">
        <v>3207</v>
      </c>
      <c r="AP496" t="s">
        <v>3208</v>
      </c>
      <c r="AQ496" t="s">
        <v>74</v>
      </c>
      <c r="AR496" t="s">
        <v>3209</v>
      </c>
      <c r="AS496" t="s">
        <v>3210</v>
      </c>
      <c r="AT496" t="s">
        <v>6139</v>
      </c>
      <c r="AU496">
        <v>1998</v>
      </c>
      <c r="AV496">
        <v>124</v>
      </c>
      <c r="AW496">
        <v>552</v>
      </c>
      <c r="AX496" t="s">
        <v>6877</v>
      </c>
      <c r="AY496" t="s">
        <v>74</v>
      </c>
      <c r="AZ496" t="s">
        <v>74</v>
      </c>
      <c r="BA496" t="s">
        <v>74</v>
      </c>
      <c r="BB496">
        <v>2829</v>
      </c>
      <c r="BC496">
        <v>2866</v>
      </c>
      <c r="BD496" t="s">
        <v>74</v>
      </c>
      <c r="BE496" t="s">
        <v>6889</v>
      </c>
      <c r="BF496" t="str">
        <f>HYPERLINK("http://dx.doi.org/10.1002/qj.49712455215","http://dx.doi.org/10.1002/qj.49712455215")</f>
        <v>http://dx.doi.org/10.1002/qj.49712455215</v>
      </c>
      <c r="BG496" t="s">
        <v>74</v>
      </c>
      <c r="BH496" t="s">
        <v>74</v>
      </c>
      <c r="BI496">
        <v>38</v>
      </c>
      <c r="BJ496" t="s">
        <v>1418</v>
      </c>
      <c r="BK496" t="s">
        <v>95</v>
      </c>
      <c r="BL496" t="s">
        <v>1418</v>
      </c>
      <c r="BM496" t="s">
        <v>6879</v>
      </c>
      <c r="BN496" t="s">
        <v>74</v>
      </c>
      <c r="BO496" t="s">
        <v>74</v>
      </c>
      <c r="BP496" t="s">
        <v>74</v>
      </c>
      <c r="BQ496" t="s">
        <v>74</v>
      </c>
      <c r="BR496" t="s">
        <v>98</v>
      </c>
      <c r="BS496" t="s">
        <v>6890</v>
      </c>
      <c r="BT496" t="str">
        <f>HYPERLINK("https%3A%2F%2Fwww.webofscience.com%2Fwos%2Fwoscc%2Ffull-record%2FWOS:000078052700014","View Full Record in Web of Science")</f>
        <v>View Full Record in Web of Science</v>
      </c>
    </row>
    <row r="497" spans="1:72" x14ac:dyDescent="0.15">
      <c r="A497" t="s">
        <v>72</v>
      </c>
      <c r="B497" t="s">
        <v>6891</v>
      </c>
      <c r="C497" t="s">
        <v>74</v>
      </c>
      <c r="D497" t="s">
        <v>74</v>
      </c>
      <c r="E497" t="s">
        <v>74</v>
      </c>
      <c r="F497" t="s">
        <v>6891</v>
      </c>
      <c r="G497" t="s">
        <v>74</v>
      </c>
      <c r="H497" t="s">
        <v>74</v>
      </c>
      <c r="I497" t="s">
        <v>6892</v>
      </c>
      <c r="J497" t="s">
        <v>6893</v>
      </c>
      <c r="K497" t="s">
        <v>74</v>
      </c>
      <c r="L497" t="s">
        <v>74</v>
      </c>
      <c r="M497" t="s">
        <v>77</v>
      </c>
      <c r="N497" t="s">
        <v>103</v>
      </c>
      <c r="O497" t="s">
        <v>74</v>
      </c>
      <c r="P497" t="s">
        <v>74</v>
      </c>
      <c r="Q497" t="s">
        <v>74</v>
      </c>
      <c r="R497" t="s">
        <v>74</v>
      </c>
      <c r="S497" t="s">
        <v>74</v>
      </c>
      <c r="T497" t="s">
        <v>74</v>
      </c>
      <c r="U497" t="s">
        <v>6894</v>
      </c>
      <c r="V497" t="s">
        <v>6895</v>
      </c>
      <c r="W497" t="s">
        <v>6896</v>
      </c>
      <c r="X497" t="s">
        <v>6897</v>
      </c>
      <c r="Y497" t="s">
        <v>6898</v>
      </c>
      <c r="Z497" t="s">
        <v>74</v>
      </c>
      <c r="AA497" t="s">
        <v>74</v>
      </c>
      <c r="AB497" t="s">
        <v>74</v>
      </c>
      <c r="AC497" t="s">
        <v>74</v>
      </c>
      <c r="AD497" t="s">
        <v>74</v>
      </c>
      <c r="AE497" t="s">
        <v>74</v>
      </c>
      <c r="AF497" t="s">
        <v>74</v>
      </c>
      <c r="AG497">
        <v>19</v>
      </c>
      <c r="AH497">
        <v>28</v>
      </c>
      <c r="AI497">
        <v>30</v>
      </c>
      <c r="AJ497">
        <v>0</v>
      </c>
      <c r="AK497">
        <v>8</v>
      </c>
      <c r="AL497" t="s">
        <v>1037</v>
      </c>
      <c r="AM497" t="s">
        <v>1038</v>
      </c>
      <c r="AN497" t="s">
        <v>1039</v>
      </c>
      <c r="AO497" t="s">
        <v>6899</v>
      </c>
      <c r="AP497" t="s">
        <v>74</v>
      </c>
      <c r="AQ497" t="s">
        <v>74</v>
      </c>
      <c r="AR497" t="s">
        <v>6900</v>
      </c>
      <c r="AS497" t="s">
        <v>6901</v>
      </c>
      <c r="AT497" t="s">
        <v>6902</v>
      </c>
      <c r="AU497">
        <v>1998</v>
      </c>
      <c r="AV497">
        <v>294</v>
      </c>
      <c r="AW497">
        <v>6</v>
      </c>
      <c r="AX497" t="s">
        <v>74</v>
      </c>
      <c r="AY497" t="s">
        <v>74</v>
      </c>
      <c r="AZ497" t="s">
        <v>74</v>
      </c>
      <c r="BA497" t="s">
        <v>74</v>
      </c>
      <c r="BB497">
        <v>554</v>
      </c>
      <c r="BC497">
        <v>558</v>
      </c>
      <c r="BD497" t="s">
        <v>74</v>
      </c>
      <c r="BE497" t="s">
        <v>6903</v>
      </c>
      <c r="BF497" t="str">
        <f>HYPERLINK("http://dx.doi.org/10.1016/S0009-2614(98)00908-7","http://dx.doi.org/10.1016/S0009-2614(98)00908-7")</f>
        <v>http://dx.doi.org/10.1016/S0009-2614(98)00908-7</v>
      </c>
      <c r="BG497" t="s">
        <v>74</v>
      </c>
      <c r="BH497" t="s">
        <v>74</v>
      </c>
      <c r="BI497">
        <v>5</v>
      </c>
      <c r="BJ497" t="s">
        <v>3654</v>
      </c>
      <c r="BK497" t="s">
        <v>95</v>
      </c>
      <c r="BL497" t="s">
        <v>3655</v>
      </c>
      <c r="BM497" t="s">
        <v>6904</v>
      </c>
      <c r="BN497" t="s">
        <v>74</v>
      </c>
      <c r="BO497" t="s">
        <v>74</v>
      </c>
      <c r="BP497" t="s">
        <v>74</v>
      </c>
      <c r="BQ497" t="s">
        <v>74</v>
      </c>
      <c r="BR497" t="s">
        <v>98</v>
      </c>
      <c r="BS497" t="s">
        <v>6905</v>
      </c>
      <c r="BT497" t="str">
        <f>HYPERLINK("https%3A%2F%2Fwww.webofscience.com%2Fwos%2Fwoscc%2Ffull-record%2FWOS:000076195900017","View Full Record in Web of Science")</f>
        <v>View Full Record in Web of Science</v>
      </c>
    </row>
    <row r="498" spans="1:72" x14ac:dyDescent="0.15">
      <c r="A498" t="s">
        <v>72</v>
      </c>
      <c r="B498" t="s">
        <v>6906</v>
      </c>
      <c r="C498" t="s">
        <v>74</v>
      </c>
      <c r="D498" t="s">
        <v>74</v>
      </c>
      <c r="E498" t="s">
        <v>74</v>
      </c>
      <c r="F498" t="s">
        <v>6906</v>
      </c>
      <c r="G498" t="s">
        <v>74</v>
      </c>
      <c r="H498" t="s">
        <v>74</v>
      </c>
      <c r="I498" t="s">
        <v>6907</v>
      </c>
      <c r="J498" t="s">
        <v>3902</v>
      </c>
      <c r="K498" t="s">
        <v>74</v>
      </c>
      <c r="L498" t="s">
        <v>74</v>
      </c>
      <c r="M498" t="s">
        <v>77</v>
      </c>
      <c r="N498" t="s">
        <v>103</v>
      </c>
      <c r="O498" t="s">
        <v>74</v>
      </c>
      <c r="P498" t="s">
        <v>74</v>
      </c>
      <c r="Q498" t="s">
        <v>74</v>
      </c>
      <c r="R498" t="s">
        <v>74</v>
      </c>
      <c r="S498" t="s">
        <v>74</v>
      </c>
      <c r="T498" t="s">
        <v>74</v>
      </c>
      <c r="U498" t="s">
        <v>6908</v>
      </c>
      <c r="V498" t="s">
        <v>6909</v>
      </c>
      <c r="W498" t="s">
        <v>6910</v>
      </c>
      <c r="X498" t="s">
        <v>6911</v>
      </c>
      <c r="Y498" t="s">
        <v>6912</v>
      </c>
      <c r="Z498" t="s">
        <v>74</v>
      </c>
      <c r="AA498" t="s">
        <v>6913</v>
      </c>
      <c r="AB498" t="s">
        <v>74</v>
      </c>
      <c r="AC498" t="s">
        <v>74</v>
      </c>
      <c r="AD498" t="s">
        <v>74</v>
      </c>
      <c r="AE498" t="s">
        <v>74</v>
      </c>
      <c r="AF498" t="s">
        <v>74</v>
      </c>
      <c r="AG498">
        <v>33</v>
      </c>
      <c r="AH498">
        <v>19</v>
      </c>
      <c r="AI498">
        <v>20</v>
      </c>
      <c r="AJ498">
        <v>0</v>
      </c>
      <c r="AK498">
        <v>3</v>
      </c>
      <c r="AL498" t="s">
        <v>3813</v>
      </c>
      <c r="AM498" t="s">
        <v>967</v>
      </c>
      <c r="AN498" t="s">
        <v>3814</v>
      </c>
      <c r="AO498" t="s">
        <v>3910</v>
      </c>
      <c r="AP498" t="s">
        <v>74</v>
      </c>
      <c r="AQ498" t="s">
        <v>74</v>
      </c>
      <c r="AR498" t="s">
        <v>3912</v>
      </c>
      <c r="AS498" t="s">
        <v>3913</v>
      </c>
      <c r="AT498" t="s">
        <v>6914</v>
      </c>
      <c r="AU498">
        <v>1998</v>
      </c>
      <c r="AV498">
        <v>102</v>
      </c>
      <c r="AW498">
        <v>39</v>
      </c>
      <c r="AX498" t="s">
        <v>74</v>
      </c>
      <c r="AY498" t="s">
        <v>74</v>
      </c>
      <c r="AZ498" t="s">
        <v>74</v>
      </c>
      <c r="BA498" t="s">
        <v>74</v>
      </c>
      <c r="BB498">
        <v>7680</v>
      </c>
      <c r="BC498">
        <v>7685</v>
      </c>
      <c r="BD498" t="s">
        <v>74</v>
      </c>
      <c r="BE498" t="s">
        <v>6915</v>
      </c>
      <c r="BF498" t="str">
        <f>HYPERLINK("http://dx.doi.org/10.1021/jp972111z","http://dx.doi.org/10.1021/jp972111z")</f>
        <v>http://dx.doi.org/10.1021/jp972111z</v>
      </c>
      <c r="BG498" t="s">
        <v>74</v>
      </c>
      <c r="BH498" t="s">
        <v>74</v>
      </c>
      <c r="BI498">
        <v>6</v>
      </c>
      <c r="BJ498" t="s">
        <v>3654</v>
      </c>
      <c r="BK498" t="s">
        <v>95</v>
      </c>
      <c r="BL498" t="s">
        <v>3655</v>
      </c>
      <c r="BM498" t="s">
        <v>6916</v>
      </c>
      <c r="BN498" t="s">
        <v>74</v>
      </c>
      <c r="BO498" t="s">
        <v>74</v>
      </c>
      <c r="BP498" t="s">
        <v>74</v>
      </c>
      <c r="BQ498" t="s">
        <v>74</v>
      </c>
      <c r="BR498" t="s">
        <v>98</v>
      </c>
      <c r="BS498" t="s">
        <v>6917</v>
      </c>
      <c r="BT498" t="str">
        <f>HYPERLINK("https%3A%2F%2Fwww.webofscience.com%2Fwos%2Fwoscc%2Ffull-record%2FWOS:000076374000020","View Full Record in Web of Science")</f>
        <v>View Full Record in Web of Science</v>
      </c>
    </row>
    <row r="499" spans="1:72" x14ac:dyDescent="0.15">
      <c r="A499" t="s">
        <v>72</v>
      </c>
      <c r="B499" t="s">
        <v>6918</v>
      </c>
      <c r="C499" t="s">
        <v>74</v>
      </c>
      <c r="D499" t="s">
        <v>74</v>
      </c>
      <c r="E499" t="s">
        <v>74</v>
      </c>
      <c r="F499" t="s">
        <v>6918</v>
      </c>
      <c r="G499" t="s">
        <v>74</v>
      </c>
      <c r="H499" t="s">
        <v>74</v>
      </c>
      <c r="I499" t="s">
        <v>6919</v>
      </c>
      <c r="J499" t="s">
        <v>3660</v>
      </c>
      <c r="K499" t="s">
        <v>74</v>
      </c>
      <c r="L499" t="s">
        <v>74</v>
      </c>
      <c r="M499" t="s">
        <v>77</v>
      </c>
      <c r="N499" t="s">
        <v>103</v>
      </c>
      <c r="O499" t="s">
        <v>74</v>
      </c>
      <c r="P499" t="s">
        <v>74</v>
      </c>
      <c r="Q499" t="s">
        <v>74</v>
      </c>
      <c r="R499" t="s">
        <v>74</v>
      </c>
      <c r="S499" t="s">
        <v>74</v>
      </c>
      <c r="T499" t="s">
        <v>6920</v>
      </c>
      <c r="U499" t="s">
        <v>6921</v>
      </c>
      <c r="V499" t="s">
        <v>6922</v>
      </c>
      <c r="W499" t="s">
        <v>6923</v>
      </c>
      <c r="X499" t="s">
        <v>6924</v>
      </c>
      <c r="Y499" t="s">
        <v>6925</v>
      </c>
      <c r="Z499" t="s">
        <v>6926</v>
      </c>
      <c r="AA499" t="s">
        <v>74</v>
      </c>
      <c r="AB499" t="s">
        <v>6927</v>
      </c>
      <c r="AC499" t="s">
        <v>74</v>
      </c>
      <c r="AD499" t="s">
        <v>74</v>
      </c>
      <c r="AE499" t="s">
        <v>74</v>
      </c>
      <c r="AF499" t="s">
        <v>74</v>
      </c>
      <c r="AG499">
        <v>32</v>
      </c>
      <c r="AH499">
        <v>17</v>
      </c>
      <c r="AI499">
        <v>18</v>
      </c>
      <c r="AJ499">
        <v>0</v>
      </c>
      <c r="AK499">
        <v>6</v>
      </c>
      <c r="AL499" t="s">
        <v>3670</v>
      </c>
      <c r="AM499" t="s">
        <v>1121</v>
      </c>
      <c r="AN499" t="s">
        <v>3671</v>
      </c>
      <c r="AO499" t="s">
        <v>3672</v>
      </c>
      <c r="AP499" t="s">
        <v>74</v>
      </c>
      <c r="AQ499" t="s">
        <v>74</v>
      </c>
      <c r="AR499" t="s">
        <v>3673</v>
      </c>
      <c r="AS499" t="s">
        <v>3674</v>
      </c>
      <c r="AT499" t="s">
        <v>6928</v>
      </c>
      <c r="AU499">
        <v>1998</v>
      </c>
      <c r="AV499">
        <v>265</v>
      </c>
      <c r="AW499">
        <v>1407</v>
      </c>
      <c r="AX499" t="s">
        <v>74</v>
      </c>
      <c r="AY499" t="s">
        <v>74</v>
      </c>
      <c r="AZ499" t="s">
        <v>74</v>
      </c>
      <c r="BA499" t="s">
        <v>74</v>
      </c>
      <c r="BB499">
        <v>1761</v>
      </c>
      <c r="BC499">
        <v>1770</v>
      </c>
      <c r="BD499" t="s">
        <v>74</v>
      </c>
      <c r="BE499" t="s">
        <v>6929</v>
      </c>
      <c r="BF499" t="str">
        <f>HYPERLINK("http://dx.doi.org/10.1098/rspb.1998.0500","http://dx.doi.org/10.1098/rspb.1998.0500")</f>
        <v>http://dx.doi.org/10.1098/rspb.1998.0500</v>
      </c>
      <c r="BG499" t="s">
        <v>74</v>
      </c>
      <c r="BH499" t="s">
        <v>74</v>
      </c>
      <c r="BI499">
        <v>10</v>
      </c>
      <c r="BJ499" t="s">
        <v>3676</v>
      </c>
      <c r="BK499" t="s">
        <v>95</v>
      </c>
      <c r="BL499" t="s">
        <v>3677</v>
      </c>
      <c r="BM499" t="s">
        <v>6930</v>
      </c>
      <c r="BN499" t="s">
        <v>74</v>
      </c>
      <c r="BO499" t="s">
        <v>1005</v>
      </c>
      <c r="BP499" t="s">
        <v>74</v>
      </c>
      <c r="BQ499" t="s">
        <v>74</v>
      </c>
      <c r="BR499" t="s">
        <v>98</v>
      </c>
      <c r="BS499" t="s">
        <v>6931</v>
      </c>
      <c r="BT499" t="str">
        <f>HYPERLINK("https%3A%2F%2Fwww.webofscience.com%2Fwos%2Fwoscc%2Ffull-record%2FWOS:000076135400010","View Full Record in Web of Science")</f>
        <v>View Full Record in Web of Science</v>
      </c>
    </row>
    <row r="500" spans="1:72" x14ac:dyDescent="0.15">
      <c r="A500" t="s">
        <v>72</v>
      </c>
      <c r="B500" t="s">
        <v>6932</v>
      </c>
      <c r="C500" t="s">
        <v>74</v>
      </c>
      <c r="D500" t="s">
        <v>74</v>
      </c>
      <c r="E500" t="s">
        <v>74</v>
      </c>
      <c r="F500" t="s">
        <v>6932</v>
      </c>
      <c r="G500" t="s">
        <v>74</v>
      </c>
      <c r="H500" t="s">
        <v>74</v>
      </c>
      <c r="I500" t="s">
        <v>6933</v>
      </c>
      <c r="J500" t="s">
        <v>6934</v>
      </c>
      <c r="K500" t="s">
        <v>74</v>
      </c>
      <c r="L500" t="s">
        <v>74</v>
      </c>
      <c r="M500" t="s">
        <v>77</v>
      </c>
      <c r="N500" t="s">
        <v>103</v>
      </c>
      <c r="O500" t="s">
        <v>74</v>
      </c>
      <c r="P500" t="s">
        <v>74</v>
      </c>
      <c r="Q500" t="s">
        <v>74</v>
      </c>
      <c r="R500" t="s">
        <v>74</v>
      </c>
      <c r="S500" t="s">
        <v>74</v>
      </c>
      <c r="T500" t="s">
        <v>74</v>
      </c>
      <c r="U500" t="s">
        <v>74</v>
      </c>
      <c r="V500" t="s">
        <v>6935</v>
      </c>
      <c r="W500" t="s">
        <v>6936</v>
      </c>
      <c r="X500" t="s">
        <v>6937</v>
      </c>
      <c r="Y500" t="s">
        <v>6938</v>
      </c>
      <c r="Z500" t="s">
        <v>6939</v>
      </c>
      <c r="AA500" t="s">
        <v>6940</v>
      </c>
      <c r="AB500" t="s">
        <v>6941</v>
      </c>
      <c r="AC500" t="s">
        <v>74</v>
      </c>
      <c r="AD500" t="s">
        <v>74</v>
      </c>
      <c r="AE500" t="s">
        <v>74</v>
      </c>
      <c r="AF500" t="s">
        <v>74</v>
      </c>
      <c r="AG500">
        <v>18</v>
      </c>
      <c r="AH500">
        <v>2</v>
      </c>
      <c r="AI500">
        <v>2</v>
      </c>
      <c r="AJ500">
        <v>1</v>
      </c>
      <c r="AK500">
        <v>8</v>
      </c>
      <c r="AL500" t="s">
        <v>6942</v>
      </c>
      <c r="AM500" t="s">
        <v>967</v>
      </c>
      <c r="AN500" t="s">
        <v>6943</v>
      </c>
      <c r="AO500" t="s">
        <v>6944</v>
      </c>
      <c r="AP500" t="s">
        <v>74</v>
      </c>
      <c r="AQ500" t="s">
        <v>74</v>
      </c>
      <c r="AR500" t="s">
        <v>6945</v>
      </c>
      <c r="AS500" t="s">
        <v>6946</v>
      </c>
      <c r="AT500" t="s">
        <v>6947</v>
      </c>
      <c r="AU500">
        <v>1998</v>
      </c>
      <c r="AV500">
        <v>37</v>
      </c>
      <c r="AW500">
        <v>27</v>
      </c>
      <c r="AX500" t="s">
        <v>74</v>
      </c>
      <c r="AY500" t="s">
        <v>74</v>
      </c>
      <c r="AZ500" t="s">
        <v>74</v>
      </c>
      <c r="BA500" t="s">
        <v>74</v>
      </c>
      <c r="BB500">
        <v>6558</v>
      </c>
      <c r="BC500">
        <v>6562</v>
      </c>
      <c r="BD500" t="s">
        <v>74</v>
      </c>
      <c r="BE500" t="s">
        <v>6948</v>
      </c>
      <c r="BF500" t="str">
        <f>HYPERLINK("http://dx.doi.org/10.1364/AO.37.006558","http://dx.doi.org/10.1364/AO.37.006558")</f>
        <v>http://dx.doi.org/10.1364/AO.37.006558</v>
      </c>
      <c r="BG500" t="s">
        <v>74</v>
      </c>
      <c r="BH500" t="s">
        <v>74</v>
      </c>
      <c r="BI500">
        <v>5</v>
      </c>
      <c r="BJ500" t="s">
        <v>6949</v>
      </c>
      <c r="BK500" t="s">
        <v>95</v>
      </c>
      <c r="BL500" t="s">
        <v>6949</v>
      </c>
      <c r="BM500" t="s">
        <v>6950</v>
      </c>
      <c r="BN500">
        <v>18286165</v>
      </c>
      <c r="BO500" t="s">
        <v>74</v>
      </c>
      <c r="BP500" t="s">
        <v>74</v>
      </c>
      <c r="BQ500" t="s">
        <v>74</v>
      </c>
      <c r="BR500" t="s">
        <v>98</v>
      </c>
      <c r="BS500" t="s">
        <v>6951</v>
      </c>
      <c r="BT500" t="str">
        <f>HYPERLINK("https%3A%2F%2Fwww.webofscience.com%2Fwos%2Fwoscc%2Ffull-record%2FWOS:000076038400036","View Full Record in Web of Science")</f>
        <v>View Full Record in Web of Science</v>
      </c>
    </row>
    <row r="501" spans="1:72" x14ac:dyDescent="0.15">
      <c r="A501" t="s">
        <v>72</v>
      </c>
      <c r="B501" t="s">
        <v>6952</v>
      </c>
      <c r="C501" t="s">
        <v>74</v>
      </c>
      <c r="D501" t="s">
        <v>74</v>
      </c>
      <c r="E501" t="s">
        <v>74</v>
      </c>
      <c r="F501" t="s">
        <v>6952</v>
      </c>
      <c r="G501" t="s">
        <v>74</v>
      </c>
      <c r="H501" t="s">
        <v>74</v>
      </c>
      <c r="I501" t="s">
        <v>6953</v>
      </c>
      <c r="J501" t="s">
        <v>4802</v>
      </c>
      <c r="K501" t="s">
        <v>74</v>
      </c>
      <c r="L501" t="s">
        <v>74</v>
      </c>
      <c r="M501" t="s">
        <v>77</v>
      </c>
      <c r="N501" t="s">
        <v>103</v>
      </c>
      <c r="O501" t="s">
        <v>74</v>
      </c>
      <c r="P501" t="s">
        <v>74</v>
      </c>
      <c r="Q501" t="s">
        <v>74</v>
      </c>
      <c r="R501" t="s">
        <v>74</v>
      </c>
      <c r="S501" t="s">
        <v>74</v>
      </c>
      <c r="T501" t="s">
        <v>74</v>
      </c>
      <c r="U501" t="s">
        <v>6954</v>
      </c>
      <c r="V501" t="s">
        <v>6955</v>
      </c>
      <c r="W501" t="s">
        <v>6956</v>
      </c>
      <c r="X501" t="s">
        <v>6957</v>
      </c>
      <c r="Y501" t="s">
        <v>6958</v>
      </c>
      <c r="Z501" t="s">
        <v>6959</v>
      </c>
      <c r="AA501" t="s">
        <v>6960</v>
      </c>
      <c r="AB501" t="s">
        <v>6961</v>
      </c>
      <c r="AC501" t="s">
        <v>74</v>
      </c>
      <c r="AD501" t="s">
        <v>74</v>
      </c>
      <c r="AE501" t="s">
        <v>74</v>
      </c>
      <c r="AF501" t="s">
        <v>74</v>
      </c>
      <c r="AG501">
        <v>66</v>
      </c>
      <c r="AH501">
        <v>33</v>
      </c>
      <c r="AI501">
        <v>33</v>
      </c>
      <c r="AJ501">
        <v>0</v>
      </c>
      <c r="AK501">
        <v>2</v>
      </c>
      <c r="AL501" t="s">
        <v>966</v>
      </c>
      <c r="AM501" t="s">
        <v>967</v>
      </c>
      <c r="AN501" t="s">
        <v>968</v>
      </c>
      <c r="AO501" t="s">
        <v>4811</v>
      </c>
      <c r="AP501" t="s">
        <v>4812</v>
      </c>
      <c r="AQ501" t="s">
        <v>74</v>
      </c>
      <c r="AR501" t="s">
        <v>4813</v>
      </c>
      <c r="AS501" t="s">
        <v>4814</v>
      </c>
      <c r="AT501" t="s">
        <v>6947</v>
      </c>
      <c r="AU501">
        <v>1998</v>
      </c>
      <c r="AV501">
        <v>103</v>
      </c>
      <c r="AW501" t="s">
        <v>6962</v>
      </c>
      <c r="AX501" t="s">
        <v>74</v>
      </c>
      <c r="AY501" t="s">
        <v>74</v>
      </c>
      <c r="AZ501" t="s">
        <v>74</v>
      </c>
      <c r="BA501" t="s">
        <v>74</v>
      </c>
      <c r="BB501">
        <v>22163</v>
      </c>
      <c r="BC501">
        <v>22180</v>
      </c>
      <c r="BD501" t="s">
        <v>74</v>
      </c>
      <c r="BE501" t="s">
        <v>6963</v>
      </c>
      <c r="BF501" t="str">
        <f>HYPERLINK("http://dx.doi.org/10.1029/98JD01692","http://dx.doi.org/10.1029/98JD01692")</f>
        <v>http://dx.doi.org/10.1029/98JD01692</v>
      </c>
      <c r="BG501" t="s">
        <v>74</v>
      </c>
      <c r="BH501" t="s">
        <v>74</v>
      </c>
      <c r="BI501">
        <v>18</v>
      </c>
      <c r="BJ501" t="s">
        <v>1418</v>
      </c>
      <c r="BK501" t="s">
        <v>95</v>
      </c>
      <c r="BL501" t="s">
        <v>1418</v>
      </c>
      <c r="BM501" t="s">
        <v>6964</v>
      </c>
      <c r="BN501" t="s">
        <v>74</v>
      </c>
      <c r="BO501" t="s">
        <v>2091</v>
      </c>
      <c r="BP501" t="s">
        <v>74</v>
      </c>
      <c r="BQ501" t="s">
        <v>74</v>
      </c>
      <c r="BR501" t="s">
        <v>98</v>
      </c>
      <c r="BS501" t="s">
        <v>6965</v>
      </c>
      <c r="BT501" t="str">
        <f>HYPERLINK("https%3A%2F%2Fwww.webofscience.com%2Fwos%2Fwoscc%2Ffull-record%2FWOS:000075980400018","View Full Record in Web of Science")</f>
        <v>View Full Record in Web of Science</v>
      </c>
    </row>
    <row r="502" spans="1:72" x14ac:dyDescent="0.15">
      <c r="A502" t="s">
        <v>72</v>
      </c>
      <c r="B502" t="s">
        <v>6966</v>
      </c>
      <c r="C502" t="s">
        <v>74</v>
      </c>
      <c r="D502" t="s">
        <v>74</v>
      </c>
      <c r="E502" t="s">
        <v>74</v>
      </c>
      <c r="F502" t="s">
        <v>6966</v>
      </c>
      <c r="G502" t="s">
        <v>74</v>
      </c>
      <c r="H502" t="s">
        <v>74</v>
      </c>
      <c r="I502" t="s">
        <v>6967</v>
      </c>
      <c r="J502" t="s">
        <v>6968</v>
      </c>
      <c r="K502" t="s">
        <v>74</v>
      </c>
      <c r="L502" t="s">
        <v>74</v>
      </c>
      <c r="M502" t="s">
        <v>77</v>
      </c>
      <c r="N502" t="s">
        <v>103</v>
      </c>
      <c r="O502" t="s">
        <v>74</v>
      </c>
      <c r="P502" t="s">
        <v>74</v>
      </c>
      <c r="Q502" t="s">
        <v>74</v>
      </c>
      <c r="R502" t="s">
        <v>74</v>
      </c>
      <c r="S502" t="s">
        <v>74</v>
      </c>
      <c r="T502" t="s">
        <v>6969</v>
      </c>
      <c r="U502" t="s">
        <v>6970</v>
      </c>
      <c r="V502" t="s">
        <v>6971</v>
      </c>
      <c r="W502" t="s">
        <v>6972</v>
      </c>
      <c r="X502" t="s">
        <v>6973</v>
      </c>
      <c r="Y502" t="s">
        <v>6974</v>
      </c>
      <c r="Z502" t="s">
        <v>74</v>
      </c>
      <c r="AA502" t="s">
        <v>6975</v>
      </c>
      <c r="AB502" t="s">
        <v>6976</v>
      </c>
      <c r="AC502" t="s">
        <v>74</v>
      </c>
      <c r="AD502" t="s">
        <v>74</v>
      </c>
      <c r="AE502" t="s">
        <v>74</v>
      </c>
      <c r="AF502" t="s">
        <v>74</v>
      </c>
      <c r="AG502">
        <v>20</v>
      </c>
      <c r="AH502">
        <v>118</v>
      </c>
      <c r="AI502">
        <v>133</v>
      </c>
      <c r="AJ502">
        <v>4</v>
      </c>
      <c r="AK502">
        <v>54</v>
      </c>
      <c r="AL502" t="s">
        <v>3722</v>
      </c>
      <c r="AM502" t="s">
        <v>1038</v>
      </c>
      <c r="AN502" t="s">
        <v>3723</v>
      </c>
      <c r="AO502" t="s">
        <v>6977</v>
      </c>
      <c r="AP502" t="s">
        <v>6978</v>
      </c>
      <c r="AQ502" t="s">
        <v>74</v>
      </c>
      <c r="AR502" t="s">
        <v>6979</v>
      </c>
      <c r="AS502" t="s">
        <v>6980</v>
      </c>
      <c r="AT502" t="s">
        <v>6981</v>
      </c>
      <c r="AU502">
        <v>1998</v>
      </c>
      <c r="AV502">
        <v>220</v>
      </c>
      <c r="AW502" t="s">
        <v>1086</v>
      </c>
      <c r="AX502" t="s">
        <v>74</v>
      </c>
      <c r="AY502" t="s">
        <v>74</v>
      </c>
      <c r="AZ502" t="s">
        <v>74</v>
      </c>
      <c r="BA502" t="s">
        <v>74</v>
      </c>
      <c r="BB502">
        <v>167</v>
      </c>
      <c r="BC502">
        <v>180</v>
      </c>
      <c r="BD502" t="s">
        <v>74</v>
      </c>
      <c r="BE502" t="s">
        <v>6982</v>
      </c>
      <c r="BF502" t="str">
        <f>HYPERLINK("http://dx.doi.org/10.1016/S0048-9697(98)00257-5","http://dx.doi.org/10.1016/S0048-9697(98)00257-5")</f>
        <v>http://dx.doi.org/10.1016/S0048-9697(98)00257-5</v>
      </c>
      <c r="BG502" t="s">
        <v>74</v>
      </c>
      <c r="BH502" t="s">
        <v>74</v>
      </c>
      <c r="BI502">
        <v>14</v>
      </c>
      <c r="BJ502" t="s">
        <v>6255</v>
      </c>
      <c r="BK502" t="s">
        <v>95</v>
      </c>
      <c r="BL502" t="s">
        <v>661</v>
      </c>
      <c r="BM502" t="s">
        <v>6983</v>
      </c>
      <c r="BN502" t="s">
        <v>74</v>
      </c>
      <c r="BO502" t="s">
        <v>74</v>
      </c>
      <c r="BP502" t="s">
        <v>74</v>
      </c>
      <c r="BQ502" t="s">
        <v>74</v>
      </c>
      <c r="BR502" t="s">
        <v>98</v>
      </c>
      <c r="BS502" t="s">
        <v>6984</v>
      </c>
      <c r="BT502" t="str">
        <f>HYPERLINK("https%3A%2F%2Fwww.webofscience.com%2Fwos%2Fwoscc%2Ffull-record%2FWOS:000076501700007","View Full Record in Web of Science")</f>
        <v>View Full Record in Web of Science</v>
      </c>
    </row>
    <row r="503" spans="1:72" x14ac:dyDescent="0.15">
      <c r="A503" t="s">
        <v>72</v>
      </c>
      <c r="B503" t="s">
        <v>6985</v>
      </c>
      <c r="C503" t="s">
        <v>74</v>
      </c>
      <c r="D503" t="s">
        <v>74</v>
      </c>
      <c r="E503" t="s">
        <v>74</v>
      </c>
      <c r="F503" t="s">
        <v>6985</v>
      </c>
      <c r="G503" t="s">
        <v>74</v>
      </c>
      <c r="H503" t="s">
        <v>74</v>
      </c>
      <c r="I503" t="s">
        <v>6986</v>
      </c>
      <c r="J503" t="s">
        <v>3825</v>
      </c>
      <c r="K503" t="s">
        <v>74</v>
      </c>
      <c r="L503" t="s">
        <v>74</v>
      </c>
      <c r="M503" t="s">
        <v>77</v>
      </c>
      <c r="N503" t="s">
        <v>103</v>
      </c>
      <c r="O503" t="s">
        <v>74</v>
      </c>
      <c r="P503" t="s">
        <v>74</v>
      </c>
      <c r="Q503" t="s">
        <v>74</v>
      </c>
      <c r="R503" t="s">
        <v>74</v>
      </c>
      <c r="S503" t="s">
        <v>74</v>
      </c>
      <c r="T503" t="s">
        <v>74</v>
      </c>
      <c r="U503" t="s">
        <v>6987</v>
      </c>
      <c r="V503" t="s">
        <v>6988</v>
      </c>
      <c r="W503" t="s">
        <v>6989</v>
      </c>
      <c r="X503" t="s">
        <v>6990</v>
      </c>
      <c r="Y503" t="s">
        <v>6991</v>
      </c>
      <c r="Z503" t="s">
        <v>6992</v>
      </c>
      <c r="AA503" t="s">
        <v>74</v>
      </c>
      <c r="AB503" t="s">
        <v>6993</v>
      </c>
      <c r="AC503" t="s">
        <v>74</v>
      </c>
      <c r="AD503" t="s">
        <v>74</v>
      </c>
      <c r="AE503" t="s">
        <v>74</v>
      </c>
      <c r="AF503" t="s">
        <v>74</v>
      </c>
      <c r="AG503">
        <v>30</v>
      </c>
      <c r="AH503">
        <v>74</v>
      </c>
      <c r="AI503">
        <v>84</v>
      </c>
      <c r="AJ503">
        <v>0</v>
      </c>
      <c r="AK503">
        <v>11</v>
      </c>
      <c r="AL503" t="s">
        <v>966</v>
      </c>
      <c r="AM503" t="s">
        <v>967</v>
      </c>
      <c r="AN503" t="s">
        <v>968</v>
      </c>
      <c r="AO503" t="s">
        <v>3833</v>
      </c>
      <c r="AP503" t="s">
        <v>3834</v>
      </c>
      <c r="AQ503" t="s">
        <v>74</v>
      </c>
      <c r="AR503" t="s">
        <v>3835</v>
      </c>
      <c r="AS503" t="s">
        <v>3836</v>
      </c>
      <c r="AT503" t="s">
        <v>6994</v>
      </c>
      <c r="AU503">
        <v>1998</v>
      </c>
      <c r="AV503">
        <v>103</v>
      </c>
      <c r="AW503" t="s">
        <v>6995</v>
      </c>
      <c r="AX503" t="s">
        <v>74</v>
      </c>
      <c r="AY503" t="s">
        <v>74</v>
      </c>
      <c r="AZ503" t="s">
        <v>74</v>
      </c>
      <c r="BA503" t="s">
        <v>74</v>
      </c>
      <c r="BB503">
        <v>21683</v>
      </c>
      <c r="BC503">
        <v>21695</v>
      </c>
      <c r="BD503" t="s">
        <v>74</v>
      </c>
      <c r="BE503" t="s">
        <v>6996</v>
      </c>
      <c r="BF503" t="str">
        <f>HYPERLINK("http://dx.doi.org/10.1029/98JC02157","http://dx.doi.org/10.1029/98JC02157")</f>
        <v>http://dx.doi.org/10.1029/98JC02157</v>
      </c>
      <c r="BG503" t="s">
        <v>74</v>
      </c>
      <c r="BH503" t="s">
        <v>74</v>
      </c>
      <c r="BI503">
        <v>13</v>
      </c>
      <c r="BJ503" t="s">
        <v>451</v>
      </c>
      <c r="BK503" t="s">
        <v>95</v>
      </c>
      <c r="BL503" t="s">
        <v>451</v>
      </c>
      <c r="BM503" t="s">
        <v>6997</v>
      </c>
      <c r="BN503" t="s">
        <v>74</v>
      </c>
      <c r="BO503" t="s">
        <v>1089</v>
      </c>
      <c r="BP503" t="s">
        <v>74</v>
      </c>
      <c r="BQ503" t="s">
        <v>74</v>
      </c>
      <c r="BR503" t="s">
        <v>98</v>
      </c>
      <c r="BS503" t="s">
        <v>6998</v>
      </c>
      <c r="BT503" t="str">
        <f>HYPERLINK("https%3A%2F%2Fwww.webofscience.com%2Fwos%2Fwoscc%2Ffull-record%2FWOS:000075863500022","View Full Record in Web of Science")</f>
        <v>View Full Record in Web of Science</v>
      </c>
    </row>
    <row r="504" spans="1:72" x14ac:dyDescent="0.15">
      <c r="A504" t="s">
        <v>72</v>
      </c>
      <c r="B504" t="s">
        <v>6999</v>
      </c>
      <c r="C504" t="s">
        <v>74</v>
      </c>
      <c r="D504" t="s">
        <v>74</v>
      </c>
      <c r="E504" t="s">
        <v>74</v>
      </c>
      <c r="F504" t="s">
        <v>6999</v>
      </c>
      <c r="G504" t="s">
        <v>74</v>
      </c>
      <c r="H504" t="s">
        <v>74</v>
      </c>
      <c r="I504" t="s">
        <v>7000</v>
      </c>
      <c r="J504" t="s">
        <v>7001</v>
      </c>
      <c r="K504" t="s">
        <v>74</v>
      </c>
      <c r="L504" t="s">
        <v>74</v>
      </c>
      <c r="M504" t="s">
        <v>77</v>
      </c>
      <c r="N504" t="s">
        <v>103</v>
      </c>
      <c r="O504" t="s">
        <v>74</v>
      </c>
      <c r="P504" t="s">
        <v>74</v>
      </c>
      <c r="Q504" t="s">
        <v>74</v>
      </c>
      <c r="R504" t="s">
        <v>74</v>
      </c>
      <c r="S504" t="s">
        <v>74</v>
      </c>
      <c r="T504" t="s">
        <v>74</v>
      </c>
      <c r="U504" t="s">
        <v>7002</v>
      </c>
      <c r="V504" t="s">
        <v>7003</v>
      </c>
      <c r="W504" t="s">
        <v>7004</v>
      </c>
      <c r="X504" t="s">
        <v>7005</v>
      </c>
      <c r="Y504" t="s">
        <v>7006</v>
      </c>
      <c r="Z504" t="s">
        <v>7007</v>
      </c>
      <c r="AA504" t="s">
        <v>7008</v>
      </c>
      <c r="AB504" t="s">
        <v>7009</v>
      </c>
      <c r="AC504" t="s">
        <v>74</v>
      </c>
      <c r="AD504" t="s">
        <v>74</v>
      </c>
      <c r="AE504" t="s">
        <v>74</v>
      </c>
      <c r="AF504" t="s">
        <v>74</v>
      </c>
      <c r="AG504">
        <v>43</v>
      </c>
      <c r="AH504">
        <v>346</v>
      </c>
      <c r="AI504">
        <v>388</v>
      </c>
      <c r="AJ504">
        <v>3</v>
      </c>
      <c r="AK504">
        <v>49</v>
      </c>
      <c r="AL504" t="s">
        <v>7010</v>
      </c>
      <c r="AM504" t="s">
        <v>967</v>
      </c>
      <c r="AN504" t="s">
        <v>7011</v>
      </c>
      <c r="AO504" t="s">
        <v>7012</v>
      </c>
      <c r="AP504" t="s">
        <v>74</v>
      </c>
      <c r="AQ504" t="s">
        <v>74</v>
      </c>
      <c r="AR504" t="s">
        <v>7013</v>
      </c>
      <c r="AS504" t="s">
        <v>7014</v>
      </c>
      <c r="AT504" t="s">
        <v>6994</v>
      </c>
      <c r="AU504">
        <v>1998</v>
      </c>
      <c r="AV504">
        <v>95</v>
      </c>
      <c r="AW504">
        <v>19</v>
      </c>
      <c r="AX504" t="s">
        <v>74</v>
      </c>
      <c r="AY504" t="s">
        <v>74</v>
      </c>
      <c r="AZ504" t="s">
        <v>74</v>
      </c>
      <c r="BA504" t="s">
        <v>74</v>
      </c>
      <c r="BB504">
        <v>11476</v>
      </c>
      <c r="BC504">
        <v>11481</v>
      </c>
      <c r="BD504" t="s">
        <v>74</v>
      </c>
      <c r="BE504" t="s">
        <v>7015</v>
      </c>
      <c r="BF504" t="str">
        <f>HYPERLINK("http://dx.doi.org/10.1073/pnas.95.19.11476","http://dx.doi.org/10.1073/pnas.95.19.11476")</f>
        <v>http://dx.doi.org/10.1073/pnas.95.19.11476</v>
      </c>
      <c r="BG504" t="s">
        <v>74</v>
      </c>
      <c r="BH504" t="s">
        <v>74</v>
      </c>
      <c r="BI504">
        <v>6</v>
      </c>
      <c r="BJ504" t="s">
        <v>3377</v>
      </c>
      <c r="BK504" t="s">
        <v>95</v>
      </c>
      <c r="BL504" t="s">
        <v>3378</v>
      </c>
      <c r="BM504" t="s">
        <v>7016</v>
      </c>
      <c r="BN504">
        <v>9736762</v>
      </c>
      <c r="BO504" t="s">
        <v>1005</v>
      </c>
      <c r="BP504" t="s">
        <v>74</v>
      </c>
      <c r="BQ504" t="s">
        <v>74</v>
      </c>
      <c r="BR504" t="s">
        <v>98</v>
      </c>
      <c r="BS504" t="s">
        <v>7017</v>
      </c>
      <c r="BT504" t="str">
        <f>HYPERLINK("https%3A%2F%2Fwww.webofscience.com%2Fwos%2Fwoscc%2Ffull-record%2FWOS:000075957100085","View Full Record in Web of Science")</f>
        <v>View Full Record in Web of Science</v>
      </c>
    </row>
    <row r="505" spans="1:72" x14ac:dyDescent="0.15">
      <c r="A505" t="s">
        <v>72</v>
      </c>
      <c r="B505" t="s">
        <v>7018</v>
      </c>
      <c r="C505" t="s">
        <v>74</v>
      </c>
      <c r="D505" t="s">
        <v>74</v>
      </c>
      <c r="E505" t="s">
        <v>74</v>
      </c>
      <c r="F505" t="s">
        <v>7018</v>
      </c>
      <c r="G505" t="s">
        <v>74</v>
      </c>
      <c r="H505" t="s">
        <v>74</v>
      </c>
      <c r="I505" t="s">
        <v>7019</v>
      </c>
      <c r="J505" t="s">
        <v>6106</v>
      </c>
      <c r="K505" t="s">
        <v>74</v>
      </c>
      <c r="L505" t="s">
        <v>74</v>
      </c>
      <c r="M505" t="s">
        <v>77</v>
      </c>
      <c r="N505" t="s">
        <v>103</v>
      </c>
      <c r="O505" t="s">
        <v>74</v>
      </c>
      <c r="P505" t="s">
        <v>74</v>
      </c>
      <c r="Q505" t="s">
        <v>74</v>
      </c>
      <c r="R505" t="s">
        <v>74</v>
      </c>
      <c r="S505" t="s">
        <v>74</v>
      </c>
      <c r="T505" t="s">
        <v>74</v>
      </c>
      <c r="U505" t="s">
        <v>7020</v>
      </c>
      <c r="V505" t="s">
        <v>7021</v>
      </c>
      <c r="W505" t="s">
        <v>7022</v>
      </c>
      <c r="X505" t="s">
        <v>7023</v>
      </c>
      <c r="Y505" t="s">
        <v>7024</v>
      </c>
      <c r="Z505" t="s">
        <v>74</v>
      </c>
      <c r="AA505" t="s">
        <v>74</v>
      </c>
      <c r="AB505" t="s">
        <v>74</v>
      </c>
      <c r="AC505" t="s">
        <v>74</v>
      </c>
      <c r="AD505" t="s">
        <v>74</v>
      </c>
      <c r="AE505" t="s">
        <v>74</v>
      </c>
      <c r="AF505" t="s">
        <v>74</v>
      </c>
      <c r="AG505">
        <v>89</v>
      </c>
      <c r="AH505">
        <v>160</v>
      </c>
      <c r="AI505">
        <v>178</v>
      </c>
      <c r="AJ505">
        <v>5</v>
      </c>
      <c r="AK505">
        <v>40</v>
      </c>
      <c r="AL505" t="s">
        <v>966</v>
      </c>
      <c r="AM505" t="s">
        <v>967</v>
      </c>
      <c r="AN505" t="s">
        <v>968</v>
      </c>
      <c r="AO505" t="s">
        <v>6114</v>
      </c>
      <c r="AP505" t="s">
        <v>6115</v>
      </c>
      <c r="AQ505" t="s">
        <v>74</v>
      </c>
      <c r="AR505" t="s">
        <v>6116</v>
      </c>
      <c r="AS505" t="s">
        <v>6117</v>
      </c>
      <c r="AT505" t="s">
        <v>7025</v>
      </c>
      <c r="AU505">
        <v>1998</v>
      </c>
      <c r="AV505">
        <v>103</v>
      </c>
      <c r="AW505" t="s">
        <v>7026</v>
      </c>
      <c r="AX505" t="s">
        <v>74</v>
      </c>
      <c r="AY505" t="s">
        <v>74</v>
      </c>
      <c r="AZ505" t="s">
        <v>74</v>
      </c>
      <c r="BA505" t="s">
        <v>74</v>
      </c>
      <c r="BB505">
        <v>20963</v>
      </c>
      <c r="BC505">
        <v>20979</v>
      </c>
      <c r="BD505" t="s">
        <v>74</v>
      </c>
      <c r="BE505" t="s">
        <v>7027</v>
      </c>
      <c r="BF505" t="str">
        <f>HYPERLINK("http://dx.doi.org/10.1029/98JB02052","http://dx.doi.org/10.1029/98JB02052")</f>
        <v>http://dx.doi.org/10.1029/98JB02052</v>
      </c>
      <c r="BG505" t="s">
        <v>74</v>
      </c>
      <c r="BH505" t="s">
        <v>74</v>
      </c>
      <c r="BI505">
        <v>17</v>
      </c>
      <c r="BJ505" t="s">
        <v>303</v>
      </c>
      <c r="BK505" t="s">
        <v>95</v>
      </c>
      <c r="BL505" t="s">
        <v>303</v>
      </c>
      <c r="BM505" t="s">
        <v>7028</v>
      </c>
      <c r="BN505" t="s">
        <v>74</v>
      </c>
      <c r="BO505" t="s">
        <v>1089</v>
      </c>
      <c r="BP505" t="s">
        <v>74</v>
      </c>
      <c r="BQ505" t="s">
        <v>74</v>
      </c>
      <c r="BR505" t="s">
        <v>98</v>
      </c>
      <c r="BS505" t="s">
        <v>7029</v>
      </c>
      <c r="BT505" t="str">
        <f>HYPERLINK("https%3A%2F%2Fwww.webofscience.com%2Fwos%2Fwoscc%2Ffull-record%2FWOS:000075920500012","View Full Record in Web of Science")</f>
        <v>View Full Record in Web of Science</v>
      </c>
    </row>
    <row r="506" spans="1:72" x14ac:dyDescent="0.15">
      <c r="A506" t="s">
        <v>72</v>
      </c>
      <c r="B506" t="s">
        <v>7030</v>
      </c>
      <c r="C506" t="s">
        <v>74</v>
      </c>
      <c r="D506" t="s">
        <v>74</v>
      </c>
      <c r="E506" t="s">
        <v>74</v>
      </c>
      <c r="F506" t="s">
        <v>7030</v>
      </c>
      <c r="G506" t="s">
        <v>74</v>
      </c>
      <c r="H506" t="s">
        <v>74</v>
      </c>
      <c r="I506" t="s">
        <v>7031</v>
      </c>
      <c r="J506" t="s">
        <v>6106</v>
      </c>
      <c r="K506" t="s">
        <v>74</v>
      </c>
      <c r="L506" t="s">
        <v>74</v>
      </c>
      <c r="M506" t="s">
        <v>77</v>
      </c>
      <c r="N506" t="s">
        <v>978</v>
      </c>
      <c r="O506" t="s">
        <v>74</v>
      </c>
      <c r="P506" t="s">
        <v>74</v>
      </c>
      <c r="Q506" t="s">
        <v>74</v>
      </c>
      <c r="R506" t="s">
        <v>74</v>
      </c>
      <c r="S506" t="s">
        <v>74</v>
      </c>
      <c r="T506" t="s">
        <v>74</v>
      </c>
      <c r="U506" t="s">
        <v>74</v>
      </c>
      <c r="V506" t="s">
        <v>74</v>
      </c>
      <c r="W506" t="s">
        <v>1437</v>
      </c>
      <c r="X506" t="s">
        <v>628</v>
      </c>
      <c r="Y506" t="s">
        <v>74</v>
      </c>
      <c r="Z506" t="s">
        <v>74</v>
      </c>
      <c r="AA506" t="s">
        <v>74</v>
      </c>
      <c r="AB506" t="s">
        <v>74</v>
      </c>
      <c r="AC506" t="s">
        <v>74</v>
      </c>
      <c r="AD506" t="s">
        <v>74</v>
      </c>
      <c r="AE506" t="s">
        <v>74</v>
      </c>
      <c r="AF506" t="s">
        <v>74</v>
      </c>
      <c r="AG506">
        <v>1</v>
      </c>
      <c r="AH506">
        <v>0</v>
      </c>
      <c r="AI506">
        <v>0</v>
      </c>
      <c r="AJ506">
        <v>0</v>
      </c>
      <c r="AK506">
        <v>2</v>
      </c>
      <c r="AL506" t="s">
        <v>966</v>
      </c>
      <c r="AM506" t="s">
        <v>967</v>
      </c>
      <c r="AN506" t="s">
        <v>968</v>
      </c>
      <c r="AO506" t="s">
        <v>6114</v>
      </c>
      <c r="AP506" t="s">
        <v>6115</v>
      </c>
      <c r="AQ506" t="s">
        <v>74</v>
      </c>
      <c r="AR506" t="s">
        <v>6116</v>
      </c>
      <c r="AS506" t="s">
        <v>6117</v>
      </c>
      <c r="AT506" t="s">
        <v>7025</v>
      </c>
      <c r="AU506">
        <v>1998</v>
      </c>
      <c r="AV506">
        <v>103</v>
      </c>
      <c r="AW506" t="s">
        <v>7026</v>
      </c>
      <c r="AX506" t="s">
        <v>74</v>
      </c>
      <c r="AY506" t="s">
        <v>74</v>
      </c>
      <c r="AZ506" t="s">
        <v>74</v>
      </c>
      <c r="BA506" t="s">
        <v>74</v>
      </c>
      <c r="BB506">
        <v>21057</v>
      </c>
      <c r="BC506">
        <v>21057</v>
      </c>
      <c r="BD506" t="s">
        <v>74</v>
      </c>
      <c r="BE506" t="s">
        <v>7032</v>
      </c>
      <c r="BF506" t="str">
        <f>HYPERLINK("http://dx.doi.org/10.1029/98JB02621","http://dx.doi.org/10.1029/98JB02621")</f>
        <v>http://dx.doi.org/10.1029/98JB02621</v>
      </c>
      <c r="BG506" t="s">
        <v>74</v>
      </c>
      <c r="BH506" t="s">
        <v>74</v>
      </c>
      <c r="BI506">
        <v>1</v>
      </c>
      <c r="BJ506" t="s">
        <v>303</v>
      </c>
      <c r="BK506" t="s">
        <v>95</v>
      </c>
      <c r="BL506" t="s">
        <v>303</v>
      </c>
      <c r="BM506" t="s">
        <v>7028</v>
      </c>
      <c r="BN506" t="s">
        <v>74</v>
      </c>
      <c r="BO506" t="s">
        <v>1089</v>
      </c>
      <c r="BP506" t="s">
        <v>74</v>
      </c>
      <c r="BQ506" t="s">
        <v>74</v>
      </c>
      <c r="BR506" t="s">
        <v>98</v>
      </c>
      <c r="BS506" t="s">
        <v>7033</v>
      </c>
      <c r="BT506" t="str">
        <f>HYPERLINK("https%3A%2F%2Fwww.webofscience.com%2Fwos%2Fwoscc%2Ffull-record%2FWOS:000075920500018","View Full Record in Web of Science")</f>
        <v>View Full Record in Web of Science</v>
      </c>
    </row>
    <row r="507" spans="1:72" x14ac:dyDescent="0.15">
      <c r="A507" t="s">
        <v>72</v>
      </c>
      <c r="B507" t="s">
        <v>7034</v>
      </c>
      <c r="C507" t="s">
        <v>74</v>
      </c>
      <c r="D507" t="s">
        <v>74</v>
      </c>
      <c r="E507" t="s">
        <v>74</v>
      </c>
      <c r="F507" t="s">
        <v>7034</v>
      </c>
      <c r="G507" t="s">
        <v>74</v>
      </c>
      <c r="H507" t="s">
        <v>74</v>
      </c>
      <c r="I507" t="s">
        <v>7035</v>
      </c>
      <c r="J507" t="s">
        <v>7036</v>
      </c>
      <c r="K507" t="s">
        <v>74</v>
      </c>
      <c r="L507" t="s">
        <v>74</v>
      </c>
      <c r="M507" t="s">
        <v>77</v>
      </c>
      <c r="N507" t="s">
        <v>103</v>
      </c>
      <c r="O507" t="s">
        <v>74</v>
      </c>
      <c r="P507" t="s">
        <v>74</v>
      </c>
      <c r="Q507" t="s">
        <v>74</v>
      </c>
      <c r="R507" t="s">
        <v>74</v>
      </c>
      <c r="S507" t="s">
        <v>74</v>
      </c>
      <c r="T507" t="s">
        <v>7037</v>
      </c>
      <c r="U507" t="s">
        <v>74</v>
      </c>
      <c r="V507" t="s">
        <v>7038</v>
      </c>
      <c r="W507" t="s">
        <v>7039</v>
      </c>
      <c r="X507" t="s">
        <v>7040</v>
      </c>
      <c r="Y507" t="s">
        <v>7041</v>
      </c>
      <c r="Z507" t="s">
        <v>74</v>
      </c>
      <c r="AA507" t="s">
        <v>7042</v>
      </c>
      <c r="AB507" t="s">
        <v>7043</v>
      </c>
      <c r="AC507" t="s">
        <v>74</v>
      </c>
      <c r="AD507" t="s">
        <v>74</v>
      </c>
      <c r="AE507" t="s">
        <v>74</v>
      </c>
      <c r="AF507" t="s">
        <v>74</v>
      </c>
      <c r="AG507">
        <v>14</v>
      </c>
      <c r="AH507">
        <v>18</v>
      </c>
      <c r="AI507">
        <v>19</v>
      </c>
      <c r="AJ507">
        <v>0</v>
      </c>
      <c r="AK507">
        <v>2</v>
      </c>
      <c r="AL507" t="s">
        <v>1037</v>
      </c>
      <c r="AM507" t="s">
        <v>1038</v>
      </c>
      <c r="AN507" t="s">
        <v>1039</v>
      </c>
      <c r="AO507" t="s">
        <v>7044</v>
      </c>
      <c r="AP507" t="s">
        <v>74</v>
      </c>
      <c r="AQ507" t="s">
        <v>74</v>
      </c>
      <c r="AR507" t="s">
        <v>7045</v>
      </c>
      <c r="AS507" t="s">
        <v>7046</v>
      </c>
      <c r="AT507" t="s">
        <v>7047</v>
      </c>
      <c r="AU507">
        <v>1998</v>
      </c>
      <c r="AV507">
        <v>1387</v>
      </c>
      <c r="AW507" t="s">
        <v>412</v>
      </c>
      <c r="AX507" t="s">
        <v>74</v>
      </c>
      <c r="AY507" t="s">
        <v>74</v>
      </c>
      <c r="AZ507" t="s">
        <v>74</v>
      </c>
      <c r="BA507" t="s">
        <v>74</v>
      </c>
      <c r="BB507">
        <v>457</v>
      </c>
      <c r="BC507">
        <v>461</v>
      </c>
      <c r="BD507" t="s">
        <v>74</v>
      </c>
      <c r="BE507" t="s">
        <v>7048</v>
      </c>
      <c r="BF507" t="str">
        <f>HYPERLINK("http://dx.doi.org/10.1016/S0167-4838(98)00136-8","http://dx.doi.org/10.1016/S0167-4838(98)00136-8")</f>
        <v>http://dx.doi.org/10.1016/S0167-4838(98)00136-8</v>
      </c>
      <c r="BG507" t="s">
        <v>74</v>
      </c>
      <c r="BH507" t="s">
        <v>74</v>
      </c>
      <c r="BI507">
        <v>5</v>
      </c>
      <c r="BJ507" t="s">
        <v>1650</v>
      </c>
      <c r="BK507" t="s">
        <v>95</v>
      </c>
      <c r="BL507" t="s">
        <v>1650</v>
      </c>
      <c r="BM507" t="s">
        <v>7049</v>
      </c>
      <c r="BN507">
        <v>9748663</v>
      </c>
      <c r="BO507" t="s">
        <v>74</v>
      </c>
      <c r="BP507" t="s">
        <v>74</v>
      </c>
      <c r="BQ507" t="s">
        <v>74</v>
      </c>
      <c r="BR507" t="s">
        <v>98</v>
      </c>
      <c r="BS507" t="s">
        <v>7050</v>
      </c>
      <c r="BT507" t="str">
        <f>HYPERLINK("https%3A%2F%2Fwww.webofscience.com%2Fwos%2Fwoscc%2Ffull-record%2FWOS:000076222800045","View Full Record in Web of Science")</f>
        <v>View Full Record in Web of Science</v>
      </c>
    </row>
    <row r="508" spans="1:72" x14ac:dyDescent="0.15">
      <c r="A508" t="s">
        <v>72</v>
      </c>
      <c r="B508" t="s">
        <v>7051</v>
      </c>
      <c r="C508" t="s">
        <v>74</v>
      </c>
      <c r="D508" t="s">
        <v>74</v>
      </c>
      <c r="E508" t="s">
        <v>74</v>
      </c>
      <c r="F508" t="s">
        <v>7051</v>
      </c>
      <c r="G508" t="s">
        <v>74</v>
      </c>
      <c r="H508" t="s">
        <v>74</v>
      </c>
      <c r="I508" t="s">
        <v>7052</v>
      </c>
      <c r="J508" t="s">
        <v>7053</v>
      </c>
      <c r="K508" t="s">
        <v>74</v>
      </c>
      <c r="L508" t="s">
        <v>74</v>
      </c>
      <c r="M508" t="s">
        <v>77</v>
      </c>
      <c r="N508" t="s">
        <v>103</v>
      </c>
      <c r="O508" t="s">
        <v>74</v>
      </c>
      <c r="P508" t="s">
        <v>74</v>
      </c>
      <c r="Q508" t="s">
        <v>74</v>
      </c>
      <c r="R508" t="s">
        <v>74</v>
      </c>
      <c r="S508" t="s">
        <v>74</v>
      </c>
      <c r="T508" t="s">
        <v>74</v>
      </c>
      <c r="U508" t="s">
        <v>7054</v>
      </c>
      <c r="V508" t="s">
        <v>7055</v>
      </c>
      <c r="W508" t="s">
        <v>7056</v>
      </c>
      <c r="X508" t="s">
        <v>7057</v>
      </c>
      <c r="Y508" t="s">
        <v>7058</v>
      </c>
      <c r="Z508" t="s">
        <v>74</v>
      </c>
      <c r="AA508" t="s">
        <v>7059</v>
      </c>
      <c r="AB508" t="s">
        <v>74</v>
      </c>
      <c r="AC508" t="s">
        <v>74</v>
      </c>
      <c r="AD508" t="s">
        <v>74</v>
      </c>
      <c r="AE508" t="s">
        <v>74</v>
      </c>
      <c r="AF508" t="s">
        <v>74</v>
      </c>
      <c r="AG508">
        <v>13</v>
      </c>
      <c r="AH508">
        <v>4</v>
      </c>
      <c r="AI508">
        <v>6</v>
      </c>
      <c r="AJ508">
        <v>0</v>
      </c>
      <c r="AK508">
        <v>0</v>
      </c>
      <c r="AL508" t="s">
        <v>7060</v>
      </c>
      <c r="AM508" t="s">
        <v>7061</v>
      </c>
      <c r="AN508" t="s">
        <v>7062</v>
      </c>
      <c r="AO508" t="s">
        <v>7063</v>
      </c>
      <c r="AP508" t="s">
        <v>74</v>
      </c>
      <c r="AQ508" t="s">
        <v>74</v>
      </c>
      <c r="AR508" t="s">
        <v>7064</v>
      </c>
      <c r="AS508" t="s">
        <v>7065</v>
      </c>
      <c r="AT508" t="s">
        <v>7066</v>
      </c>
      <c r="AU508">
        <v>1998</v>
      </c>
      <c r="AV508">
        <v>54</v>
      </c>
      <c r="AW508" t="s">
        <v>74</v>
      </c>
      <c r="AX508">
        <v>5</v>
      </c>
      <c r="AY508" t="s">
        <v>74</v>
      </c>
      <c r="AZ508" t="s">
        <v>74</v>
      </c>
      <c r="BA508" t="s">
        <v>74</v>
      </c>
      <c r="BB508">
        <v>1012</v>
      </c>
      <c r="BC508">
        <v>1013</v>
      </c>
      <c r="BD508" t="s">
        <v>74</v>
      </c>
      <c r="BE508" t="s">
        <v>7067</v>
      </c>
      <c r="BF508" t="str">
        <f>HYPERLINK("http://dx.doi.org/10.1107/S0907444998002583","http://dx.doi.org/10.1107/S0907444998002583")</f>
        <v>http://dx.doi.org/10.1107/S0907444998002583</v>
      </c>
      <c r="BG508" t="s">
        <v>74</v>
      </c>
      <c r="BH508" t="s">
        <v>74</v>
      </c>
      <c r="BI508">
        <v>2</v>
      </c>
      <c r="BJ508" t="s">
        <v>7068</v>
      </c>
      <c r="BK508" t="s">
        <v>95</v>
      </c>
      <c r="BL508" t="s">
        <v>7069</v>
      </c>
      <c r="BM508" t="s">
        <v>7070</v>
      </c>
      <c r="BN508">
        <v>9757123</v>
      </c>
      <c r="BO508" t="s">
        <v>74</v>
      </c>
      <c r="BP508" t="s">
        <v>74</v>
      </c>
      <c r="BQ508" t="s">
        <v>74</v>
      </c>
      <c r="BR508" t="s">
        <v>98</v>
      </c>
      <c r="BS508" t="s">
        <v>7071</v>
      </c>
      <c r="BT508" t="str">
        <f>HYPERLINK("https%3A%2F%2Fwww.webofscience.com%2Fwos%2Fwoscc%2Ffull-record%2FWOS:000075952200039","View Full Record in Web of Science")</f>
        <v>View Full Record in Web of Science</v>
      </c>
    </row>
    <row r="509" spans="1:72" x14ac:dyDescent="0.15">
      <c r="A509" t="s">
        <v>72</v>
      </c>
      <c r="B509" t="s">
        <v>7072</v>
      </c>
      <c r="C509" t="s">
        <v>74</v>
      </c>
      <c r="D509" t="s">
        <v>74</v>
      </c>
      <c r="E509" t="s">
        <v>74</v>
      </c>
      <c r="F509" t="s">
        <v>7072</v>
      </c>
      <c r="G509" t="s">
        <v>74</v>
      </c>
      <c r="H509" t="s">
        <v>74</v>
      </c>
      <c r="I509" t="s">
        <v>7073</v>
      </c>
      <c r="J509" t="s">
        <v>7074</v>
      </c>
      <c r="K509" t="s">
        <v>74</v>
      </c>
      <c r="L509" t="s">
        <v>74</v>
      </c>
      <c r="M509" t="s">
        <v>77</v>
      </c>
      <c r="N509" t="s">
        <v>103</v>
      </c>
      <c r="O509" t="s">
        <v>74</v>
      </c>
      <c r="P509" t="s">
        <v>74</v>
      </c>
      <c r="Q509" t="s">
        <v>74</v>
      </c>
      <c r="R509" t="s">
        <v>74</v>
      </c>
      <c r="S509" t="s">
        <v>74</v>
      </c>
      <c r="T509" t="s">
        <v>74</v>
      </c>
      <c r="U509" t="s">
        <v>7075</v>
      </c>
      <c r="V509" t="s">
        <v>74</v>
      </c>
      <c r="W509" t="s">
        <v>7076</v>
      </c>
      <c r="X509" t="s">
        <v>3440</v>
      </c>
      <c r="Y509" t="s">
        <v>7077</v>
      </c>
      <c r="Z509" t="s">
        <v>74</v>
      </c>
      <c r="AA509" t="s">
        <v>6152</v>
      </c>
      <c r="AB509" t="s">
        <v>74</v>
      </c>
      <c r="AC509" t="s">
        <v>74</v>
      </c>
      <c r="AD509" t="s">
        <v>74</v>
      </c>
      <c r="AE509" t="s">
        <v>74</v>
      </c>
      <c r="AF509" t="s">
        <v>74</v>
      </c>
      <c r="AG509">
        <v>21</v>
      </c>
      <c r="AH509">
        <v>17</v>
      </c>
      <c r="AI509">
        <v>22</v>
      </c>
      <c r="AJ509">
        <v>0</v>
      </c>
      <c r="AK509">
        <v>9</v>
      </c>
      <c r="AL509" t="s">
        <v>7078</v>
      </c>
      <c r="AM509" t="s">
        <v>3472</v>
      </c>
      <c r="AN509" t="s">
        <v>7079</v>
      </c>
      <c r="AO509" t="s">
        <v>7080</v>
      </c>
      <c r="AP509" t="s">
        <v>74</v>
      </c>
      <c r="AQ509" t="s">
        <v>74</v>
      </c>
      <c r="AR509" t="s">
        <v>7081</v>
      </c>
      <c r="AS509" t="s">
        <v>7082</v>
      </c>
      <c r="AT509" t="s">
        <v>7083</v>
      </c>
      <c r="AU509">
        <v>1998</v>
      </c>
      <c r="AV509">
        <v>6</v>
      </c>
      <c r="AW509">
        <v>2</v>
      </c>
      <c r="AX509" t="s">
        <v>74</v>
      </c>
      <c r="AY509" t="s">
        <v>74</v>
      </c>
      <c r="AZ509" t="s">
        <v>74</v>
      </c>
      <c r="BA509" t="s">
        <v>74</v>
      </c>
      <c r="BB509">
        <v>366</v>
      </c>
      <c r="BC509">
        <v>369</v>
      </c>
      <c r="BD509" t="s">
        <v>74</v>
      </c>
      <c r="BE509" t="s">
        <v>74</v>
      </c>
      <c r="BF509" t="s">
        <v>74</v>
      </c>
      <c r="BG509" t="s">
        <v>74</v>
      </c>
      <c r="BH509" t="s">
        <v>74</v>
      </c>
      <c r="BI509">
        <v>4</v>
      </c>
      <c r="BJ509" t="s">
        <v>830</v>
      </c>
      <c r="BK509" t="s">
        <v>95</v>
      </c>
      <c r="BL509" t="s">
        <v>830</v>
      </c>
      <c r="BM509" t="s">
        <v>7084</v>
      </c>
      <c r="BN509" t="s">
        <v>74</v>
      </c>
      <c r="BO509" t="s">
        <v>74</v>
      </c>
      <c r="BP509" t="s">
        <v>74</v>
      </c>
      <c r="BQ509" t="s">
        <v>74</v>
      </c>
      <c r="BR509" t="s">
        <v>98</v>
      </c>
      <c r="BS509" t="s">
        <v>7085</v>
      </c>
      <c r="BT509" t="str">
        <f>HYPERLINK("https%3A%2F%2Fwww.webofscience.com%2Fwos%2Fwoscc%2Ffull-record%2FWOS:000078072500016","View Full Record in Web of Science")</f>
        <v>View Full Record in Web of Science</v>
      </c>
    </row>
    <row r="510" spans="1:72" x14ac:dyDescent="0.15">
      <c r="A510" t="s">
        <v>72</v>
      </c>
      <c r="B510" t="s">
        <v>7086</v>
      </c>
      <c r="C510" t="s">
        <v>74</v>
      </c>
      <c r="D510" t="s">
        <v>74</v>
      </c>
      <c r="E510" t="s">
        <v>74</v>
      </c>
      <c r="F510" t="s">
        <v>7086</v>
      </c>
      <c r="G510" t="s">
        <v>74</v>
      </c>
      <c r="H510" t="s">
        <v>74</v>
      </c>
      <c r="I510" t="s">
        <v>7087</v>
      </c>
      <c r="J510" t="s">
        <v>7088</v>
      </c>
      <c r="K510" t="s">
        <v>74</v>
      </c>
      <c r="L510" t="s">
        <v>74</v>
      </c>
      <c r="M510" t="s">
        <v>77</v>
      </c>
      <c r="N510" t="s">
        <v>3384</v>
      </c>
      <c r="O510" t="s">
        <v>74</v>
      </c>
      <c r="P510" t="s">
        <v>74</v>
      </c>
      <c r="Q510" t="s">
        <v>74</v>
      </c>
      <c r="R510" t="s">
        <v>74</v>
      </c>
      <c r="S510" t="s">
        <v>74</v>
      </c>
      <c r="T510" t="s">
        <v>74</v>
      </c>
      <c r="U510" t="s">
        <v>74</v>
      </c>
      <c r="V510" t="s">
        <v>74</v>
      </c>
      <c r="W510" t="s">
        <v>74</v>
      </c>
      <c r="X510" t="s">
        <v>74</v>
      </c>
      <c r="Y510" t="s">
        <v>74</v>
      </c>
      <c r="Z510" t="s">
        <v>74</v>
      </c>
      <c r="AA510" t="s">
        <v>74</v>
      </c>
      <c r="AB510" t="s">
        <v>74</v>
      </c>
      <c r="AC510" t="s">
        <v>74</v>
      </c>
      <c r="AD510" t="s">
        <v>74</v>
      </c>
      <c r="AE510" t="s">
        <v>74</v>
      </c>
      <c r="AF510" t="s">
        <v>74</v>
      </c>
      <c r="AG510">
        <v>1</v>
      </c>
      <c r="AH510">
        <v>0</v>
      </c>
      <c r="AI510">
        <v>0</v>
      </c>
      <c r="AJ510">
        <v>0</v>
      </c>
      <c r="AK510">
        <v>0</v>
      </c>
      <c r="AL510" t="s">
        <v>7089</v>
      </c>
      <c r="AM510" t="s">
        <v>7090</v>
      </c>
      <c r="AN510" t="s">
        <v>7091</v>
      </c>
      <c r="AO510" t="s">
        <v>7092</v>
      </c>
      <c r="AP510" t="s">
        <v>74</v>
      </c>
      <c r="AQ510" t="s">
        <v>74</v>
      </c>
      <c r="AR510" t="s">
        <v>7093</v>
      </c>
      <c r="AS510" t="s">
        <v>7094</v>
      </c>
      <c r="AT510" t="s">
        <v>7095</v>
      </c>
      <c r="AU510">
        <v>1998</v>
      </c>
      <c r="AV510">
        <v>58</v>
      </c>
      <c r="AW510">
        <v>4</v>
      </c>
      <c r="AX510" t="s">
        <v>74</v>
      </c>
      <c r="AY510" t="s">
        <v>74</v>
      </c>
      <c r="AZ510" t="s">
        <v>74</v>
      </c>
      <c r="BA510" t="s">
        <v>74</v>
      </c>
      <c r="BB510">
        <v>393</v>
      </c>
      <c r="BC510">
        <v>394</v>
      </c>
      <c r="BD510" t="s">
        <v>74</v>
      </c>
      <c r="BE510" t="s">
        <v>74</v>
      </c>
      <c r="BF510" t="s">
        <v>74</v>
      </c>
      <c r="BG510" t="s">
        <v>74</v>
      </c>
      <c r="BH510" t="s">
        <v>74</v>
      </c>
      <c r="BI510">
        <v>2</v>
      </c>
      <c r="BJ510" t="s">
        <v>7096</v>
      </c>
      <c r="BK510" t="s">
        <v>7097</v>
      </c>
      <c r="BL510" t="s">
        <v>7096</v>
      </c>
      <c r="BM510" t="s">
        <v>7098</v>
      </c>
      <c r="BN510" t="s">
        <v>74</v>
      </c>
      <c r="BO510" t="s">
        <v>74</v>
      </c>
      <c r="BP510" t="s">
        <v>74</v>
      </c>
      <c r="BQ510" t="s">
        <v>74</v>
      </c>
      <c r="BR510" t="s">
        <v>98</v>
      </c>
      <c r="BS510" t="s">
        <v>7099</v>
      </c>
      <c r="BT510" t="str">
        <f>HYPERLINK("https%3A%2F%2Fwww.webofscience.com%2Fwos%2Fwoscc%2Ffull-record%2FWOS:000079839200011","View Full Record in Web of Science")</f>
        <v>View Full Record in Web of Science</v>
      </c>
    </row>
    <row r="511" spans="1:72" x14ac:dyDescent="0.15">
      <c r="A511" t="s">
        <v>72</v>
      </c>
      <c r="B511" t="s">
        <v>7100</v>
      </c>
      <c r="C511" t="s">
        <v>74</v>
      </c>
      <c r="D511" t="s">
        <v>74</v>
      </c>
      <c r="E511" t="s">
        <v>74</v>
      </c>
      <c r="F511" t="s">
        <v>7100</v>
      </c>
      <c r="G511" t="s">
        <v>74</v>
      </c>
      <c r="H511" t="s">
        <v>74</v>
      </c>
      <c r="I511" t="s">
        <v>7101</v>
      </c>
      <c r="J511" t="s">
        <v>3955</v>
      </c>
      <c r="K511" t="s">
        <v>74</v>
      </c>
      <c r="L511" t="s">
        <v>74</v>
      </c>
      <c r="M511" t="s">
        <v>77</v>
      </c>
      <c r="N511" t="s">
        <v>2667</v>
      </c>
      <c r="O511" t="s">
        <v>74</v>
      </c>
      <c r="P511" t="s">
        <v>74</v>
      </c>
      <c r="Q511" t="s">
        <v>74</v>
      </c>
      <c r="R511" t="s">
        <v>74</v>
      </c>
      <c r="S511" t="s">
        <v>74</v>
      </c>
      <c r="T511" t="s">
        <v>74</v>
      </c>
      <c r="U511" t="s">
        <v>74</v>
      </c>
      <c r="V511" t="s">
        <v>74</v>
      </c>
      <c r="W511" t="s">
        <v>74</v>
      </c>
      <c r="X511" t="s">
        <v>74</v>
      </c>
      <c r="Y511" t="s">
        <v>74</v>
      </c>
      <c r="Z511" t="s">
        <v>74</v>
      </c>
      <c r="AA511" t="s">
        <v>7102</v>
      </c>
      <c r="AB511" t="s">
        <v>7103</v>
      </c>
      <c r="AC511" t="s">
        <v>74</v>
      </c>
      <c r="AD511" t="s">
        <v>74</v>
      </c>
      <c r="AE511" t="s">
        <v>74</v>
      </c>
      <c r="AF511" t="s">
        <v>74</v>
      </c>
      <c r="AG511">
        <v>0</v>
      </c>
      <c r="AH511">
        <v>0</v>
      </c>
      <c r="AI511">
        <v>0</v>
      </c>
      <c r="AJ511">
        <v>1</v>
      </c>
      <c r="AK511">
        <v>9</v>
      </c>
      <c r="AL511" t="s">
        <v>948</v>
      </c>
      <c r="AM511" t="s">
        <v>278</v>
      </c>
      <c r="AN511" t="s">
        <v>3974</v>
      </c>
      <c r="AO511" t="s">
        <v>3956</v>
      </c>
      <c r="AP511" t="s">
        <v>3975</v>
      </c>
      <c r="AQ511" t="s">
        <v>74</v>
      </c>
      <c r="AR511" t="s">
        <v>3957</v>
      </c>
      <c r="AS511" t="s">
        <v>3958</v>
      </c>
      <c r="AT511" t="s">
        <v>7083</v>
      </c>
      <c r="AU511">
        <v>1998</v>
      </c>
      <c r="AV511">
        <v>10</v>
      </c>
      <c r="AW511">
        <v>3</v>
      </c>
      <c r="AX511" t="s">
        <v>74</v>
      </c>
      <c r="AY511" t="s">
        <v>74</v>
      </c>
      <c r="AZ511" t="s">
        <v>74</v>
      </c>
      <c r="BA511" t="s">
        <v>74</v>
      </c>
      <c r="BB511">
        <v>223</v>
      </c>
      <c r="BC511">
        <v>223</v>
      </c>
      <c r="BD511" t="s">
        <v>74</v>
      </c>
      <c r="BE511" t="s">
        <v>7104</v>
      </c>
      <c r="BF511" t="str">
        <f>HYPERLINK("http://dx.doi.org/10.1017/S0954102098000303","http://dx.doi.org/10.1017/S0954102098000303")</f>
        <v>http://dx.doi.org/10.1017/S0954102098000303</v>
      </c>
      <c r="BG511" t="s">
        <v>74</v>
      </c>
      <c r="BH511" t="s">
        <v>74</v>
      </c>
      <c r="BI511">
        <v>1</v>
      </c>
      <c r="BJ511" t="s">
        <v>3960</v>
      </c>
      <c r="BK511" t="s">
        <v>95</v>
      </c>
      <c r="BL511" t="s">
        <v>3961</v>
      </c>
      <c r="BM511" t="s">
        <v>7105</v>
      </c>
      <c r="BN511" t="s">
        <v>74</v>
      </c>
      <c r="BO511" t="s">
        <v>1089</v>
      </c>
      <c r="BP511" t="s">
        <v>74</v>
      </c>
      <c r="BQ511" t="s">
        <v>74</v>
      </c>
      <c r="BR511" t="s">
        <v>98</v>
      </c>
      <c r="BS511" t="s">
        <v>7106</v>
      </c>
      <c r="BT511" t="str">
        <f>HYPERLINK("https%3A%2F%2Fwww.webofscience.com%2Fwos%2Fwoscc%2Ffull-record%2FWOS:000076015200001","View Full Record in Web of Science")</f>
        <v>View Full Record in Web of Science</v>
      </c>
    </row>
    <row r="512" spans="1:72" x14ac:dyDescent="0.15">
      <c r="A512" t="s">
        <v>72</v>
      </c>
      <c r="B512" t="s">
        <v>7107</v>
      </c>
      <c r="C512" t="s">
        <v>74</v>
      </c>
      <c r="D512" t="s">
        <v>74</v>
      </c>
      <c r="E512" t="s">
        <v>74</v>
      </c>
      <c r="F512" t="s">
        <v>7107</v>
      </c>
      <c r="G512" t="s">
        <v>74</v>
      </c>
      <c r="H512" t="s">
        <v>74</v>
      </c>
      <c r="I512" t="s">
        <v>7108</v>
      </c>
      <c r="J512" t="s">
        <v>3955</v>
      </c>
      <c r="K512" t="s">
        <v>74</v>
      </c>
      <c r="L512" t="s">
        <v>74</v>
      </c>
      <c r="M512" t="s">
        <v>77</v>
      </c>
      <c r="N512" t="s">
        <v>2667</v>
      </c>
      <c r="O512" t="s">
        <v>74</v>
      </c>
      <c r="P512" t="s">
        <v>74</v>
      </c>
      <c r="Q512" t="s">
        <v>74</v>
      </c>
      <c r="R512" t="s">
        <v>74</v>
      </c>
      <c r="S512" t="s">
        <v>74</v>
      </c>
      <c r="T512" t="s">
        <v>74</v>
      </c>
      <c r="U512" t="s">
        <v>74</v>
      </c>
      <c r="V512" t="s">
        <v>74</v>
      </c>
      <c r="W512" t="s">
        <v>7109</v>
      </c>
      <c r="X512" t="s">
        <v>74</v>
      </c>
      <c r="Y512" t="s">
        <v>7110</v>
      </c>
      <c r="Z512" t="s">
        <v>7111</v>
      </c>
      <c r="AA512" t="s">
        <v>7102</v>
      </c>
      <c r="AB512" t="s">
        <v>74</v>
      </c>
      <c r="AC512" t="s">
        <v>74</v>
      </c>
      <c r="AD512" t="s">
        <v>74</v>
      </c>
      <c r="AE512" t="s">
        <v>74</v>
      </c>
      <c r="AF512" t="s">
        <v>74</v>
      </c>
      <c r="AG512">
        <v>0</v>
      </c>
      <c r="AH512">
        <v>0</v>
      </c>
      <c r="AI512">
        <v>0</v>
      </c>
      <c r="AJ512">
        <v>0</v>
      </c>
      <c r="AK512">
        <v>0</v>
      </c>
      <c r="AL512" t="s">
        <v>948</v>
      </c>
      <c r="AM512" t="s">
        <v>278</v>
      </c>
      <c r="AN512" t="s">
        <v>3974</v>
      </c>
      <c r="AO512" t="s">
        <v>3956</v>
      </c>
      <c r="AP512" t="s">
        <v>3975</v>
      </c>
      <c r="AQ512" t="s">
        <v>74</v>
      </c>
      <c r="AR512" t="s">
        <v>3957</v>
      </c>
      <c r="AS512" t="s">
        <v>3958</v>
      </c>
      <c r="AT512" t="s">
        <v>7083</v>
      </c>
      <c r="AU512">
        <v>1998</v>
      </c>
      <c r="AV512">
        <v>10</v>
      </c>
      <c r="AW512">
        <v>3</v>
      </c>
      <c r="AX512" t="s">
        <v>74</v>
      </c>
      <c r="AY512" t="s">
        <v>74</v>
      </c>
      <c r="AZ512" t="s">
        <v>74</v>
      </c>
      <c r="BA512" t="s">
        <v>74</v>
      </c>
      <c r="BB512">
        <v>225</v>
      </c>
      <c r="BC512" t="s">
        <v>3164</v>
      </c>
      <c r="BD512" t="s">
        <v>74</v>
      </c>
      <c r="BE512" t="s">
        <v>7112</v>
      </c>
      <c r="BF512" t="str">
        <f>HYPERLINK("http://dx.doi.org/10.1017/S0954102098000315","http://dx.doi.org/10.1017/S0954102098000315")</f>
        <v>http://dx.doi.org/10.1017/S0954102098000315</v>
      </c>
      <c r="BG512" t="s">
        <v>74</v>
      </c>
      <c r="BH512" t="s">
        <v>74</v>
      </c>
      <c r="BI512">
        <v>2</v>
      </c>
      <c r="BJ512" t="s">
        <v>3960</v>
      </c>
      <c r="BK512" t="s">
        <v>95</v>
      </c>
      <c r="BL512" t="s">
        <v>3961</v>
      </c>
      <c r="BM512" t="s">
        <v>7105</v>
      </c>
      <c r="BN512" t="s">
        <v>74</v>
      </c>
      <c r="BO512" t="s">
        <v>74</v>
      </c>
      <c r="BP512" t="s">
        <v>74</v>
      </c>
      <c r="BQ512" t="s">
        <v>74</v>
      </c>
      <c r="BR512" t="s">
        <v>98</v>
      </c>
      <c r="BS512" t="s">
        <v>7113</v>
      </c>
      <c r="BT512" t="str">
        <f>HYPERLINK("https%3A%2F%2Fwww.webofscience.com%2Fwos%2Fwoscc%2Ffull-record%2FWOS:000076015200002","View Full Record in Web of Science")</f>
        <v>View Full Record in Web of Science</v>
      </c>
    </row>
    <row r="513" spans="1:72" x14ac:dyDescent="0.15">
      <c r="A513" t="s">
        <v>72</v>
      </c>
      <c r="B513" t="s">
        <v>7114</v>
      </c>
      <c r="C513" t="s">
        <v>74</v>
      </c>
      <c r="D513" t="s">
        <v>74</v>
      </c>
      <c r="E513" t="s">
        <v>74</v>
      </c>
      <c r="F513" t="s">
        <v>7114</v>
      </c>
      <c r="G513" t="s">
        <v>74</v>
      </c>
      <c r="H513" t="s">
        <v>74</v>
      </c>
      <c r="I513" t="s">
        <v>7115</v>
      </c>
      <c r="J513" t="s">
        <v>3955</v>
      </c>
      <c r="K513" t="s">
        <v>74</v>
      </c>
      <c r="L513" t="s">
        <v>74</v>
      </c>
      <c r="M513" t="s">
        <v>77</v>
      </c>
      <c r="N513" t="s">
        <v>123</v>
      </c>
      <c r="O513" t="s">
        <v>7116</v>
      </c>
      <c r="P513" t="s">
        <v>7117</v>
      </c>
      <c r="Q513" t="s">
        <v>7118</v>
      </c>
      <c r="R513" t="s">
        <v>74</v>
      </c>
      <c r="S513" t="s">
        <v>74</v>
      </c>
      <c r="T513" t="s">
        <v>7119</v>
      </c>
      <c r="U513" t="s">
        <v>7120</v>
      </c>
      <c r="V513" t="s">
        <v>7121</v>
      </c>
      <c r="W513" t="s">
        <v>7122</v>
      </c>
      <c r="X513" t="s">
        <v>7123</v>
      </c>
      <c r="Y513" t="s">
        <v>7124</v>
      </c>
      <c r="Z513" t="s">
        <v>74</v>
      </c>
      <c r="AA513" t="s">
        <v>7125</v>
      </c>
      <c r="AB513" t="s">
        <v>7126</v>
      </c>
      <c r="AC513" t="s">
        <v>74</v>
      </c>
      <c r="AD513" t="s">
        <v>74</v>
      </c>
      <c r="AE513" t="s">
        <v>74</v>
      </c>
      <c r="AF513" t="s">
        <v>74</v>
      </c>
      <c r="AG513">
        <v>45</v>
      </c>
      <c r="AH513">
        <v>28</v>
      </c>
      <c r="AI513">
        <v>34</v>
      </c>
      <c r="AJ513">
        <v>0</v>
      </c>
      <c r="AK513">
        <v>6</v>
      </c>
      <c r="AL513" t="s">
        <v>948</v>
      </c>
      <c r="AM513" t="s">
        <v>278</v>
      </c>
      <c r="AN513" t="s">
        <v>3974</v>
      </c>
      <c r="AO513" t="s">
        <v>3956</v>
      </c>
      <c r="AP513" t="s">
        <v>3975</v>
      </c>
      <c r="AQ513" t="s">
        <v>74</v>
      </c>
      <c r="AR513" t="s">
        <v>3957</v>
      </c>
      <c r="AS513" t="s">
        <v>3958</v>
      </c>
      <c r="AT513" t="s">
        <v>7083</v>
      </c>
      <c r="AU513">
        <v>1998</v>
      </c>
      <c r="AV513">
        <v>10</v>
      </c>
      <c r="AW513">
        <v>3</v>
      </c>
      <c r="AX513" t="s">
        <v>74</v>
      </c>
      <c r="AY513" t="s">
        <v>74</v>
      </c>
      <c r="AZ513" t="s">
        <v>74</v>
      </c>
      <c r="BA513" t="s">
        <v>74</v>
      </c>
      <c r="BB513">
        <v>227</v>
      </c>
      <c r="BC513">
        <v>235</v>
      </c>
      <c r="BD513" t="s">
        <v>74</v>
      </c>
      <c r="BE513" t="s">
        <v>7127</v>
      </c>
      <c r="BF513" t="str">
        <f>HYPERLINK("http://dx.doi.org/10.1017/S0954102098000327","http://dx.doi.org/10.1017/S0954102098000327")</f>
        <v>http://dx.doi.org/10.1017/S0954102098000327</v>
      </c>
      <c r="BG513" t="s">
        <v>74</v>
      </c>
      <c r="BH513" t="s">
        <v>74</v>
      </c>
      <c r="BI513">
        <v>9</v>
      </c>
      <c r="BJ513" t="s">
        <v>3960</v>
      </c>
      <c r="BK513" t="s">
        <v>144</v>
      </c>
      <c r="BL513" t="s">
        <v>3961</v>
      </c>
      <c r="BM513" t="s">
        <v>7105</v>
      </c>
      <c r="BN513" t="s">
        <v>74</v>
      </c>
      <c r="BO513" t="s">
        <v>74</v>
      </c>
      <c r="BP513" t="s">
        <v>74</v>
      </c>
      <c r="BQ513" t="s">
        <v>74</v>
      </c>
      <c r="BR513" t="s">
        <v>98</v>
      </c>
      <c r="BS513" t="s">
        <v>7128</v>
      </c>
      <c r="BT513" t="str">
        <f>HYPERLINK("https%3A%2F%2Fwww.webofscience.com%2Fwos%2Fwoscc%2Ffull-record%2FWOS:000076015200003","View Full Record in Web of Science")</f>
        <v>View Full Record in Web of Science</v>
      </c>
    </row>
    <row r="514" spans="1:72" x14ac:dyDescent="0.15">
      <c r="A514" t="s">
        <v>72</v>
      </c>
      <c r="B514" t="s">
        <v>7129</v>
      </c>
      <c r="C514" t="s">
        <v>74</v>
      </c>
      <c r="D514" t="s">
        <v>74</v>
      </c>
      <c r="E514" t="s">
        <v>74</v>
      </c>
      <c r="F514" t="s">
        <v>7129</v>
      </c>
      <c r="G514" t="s">
        <v>74</v>
      </c>
      <c r="H514" t="s">
        <v>74</v>
      </c>
      <c r="I514" t="s">
        <v>7130</v>
      </c>
      <c r="J514" t="s">
        <v>3955</v>
      </c>
      <c r="K514" t="s">
        <v>74</v>
      </c>
      <c r="L514" t="s">
        <v>74</v>
      </c>
      <c r="M514" t="s">
        <v>77</v>
      </c>
      <c r="N514" t="s">
        <v>123</v>
      </c>
      <c r="O514" t="s">
        <v>7116</v>
      </c>
      <c r="P514" t="s">
        <v>7117</v>
      </c>
      <c r="Q514" t="s">
        <v>7118</v>
      </c>
      <c r="R514" t="s">
        <v>74</v>
      </c>
      <c r="S514" t="s">
        <v>74</v>
      </c>
      <c r="T514" t="s">
        <v>7131</v>
      </c>
      <c r="U514" t="s">
        <v>7132</v>
      </c>
      <c r="V514" t="s">
        <v>7133</v>
      </c>
      <c r="W514" t="s">
        <v>7134</v>
      </c>
      <c r="X514" t="s">
        <v>7135</v>
      </c>
      <c r="Y514" t="s">
        <v>7136</v>
      </c>
      <c r="Z514" t="s">
        <v>74</v>
      </c>
      <c r="AA514" t="s">
        <v>7102</v>
      </c>
      <c r="AB514" t="s">
        <v>6673</v>
      </c>
      <c r="AC514" t="s">
        <v>74</v>
      </c>
      <c r="AD514" t="s">
        <v>74</v>
      </c>
      <c r="AE514" t="s">
        <v>74</v>
      </c>
      <c r="AF514" t="s">
        <v>74</v>
      </c>
      <c r="AG514">
        <v>43</v>
      </c>
      <c r="AH514">
        <v>121</v>
      </c>
      <c r="AI514">
        <v>135</v>
      </c>
      <c r="AJ514">
        <v>0</v>
      </c>
      <c r="AK514">
        <v>9</v>
      </c>
      <c r="AL514" t="s">
        <v>948</v>
      </c>
      <c r="AM514" t="s">
        <v>278</v>
      </c>
      <c r="AN514" t="s">
        <v>3974</v>
      </c>
      <c r="AO514" t="s">
        <v>3956</v>
      </c>
      <c r="AP514" t="s">
        <v>3975</v>
      </c>
      <c r="AQ514" t="s">
        <v>74</v>
      </c>
      <c r="AR514" t="s">
        <v>3957</v>
      </c>
      <c r="AS514" t="s">
        <v>3958</v>
      </c>
      <c r="AT514" t="s">
        <v>7083</v>
      </c>
      <c r="AU514">
        <v>1998</v>
      </c>
      <c r="AV514">
        <v>10</v>
      </c>
      <c r="AW514">
        <v>3</v>
      </c>
      <c r="AX514" t="s">
        <v>74</v>
      </c>
      <c r="AY514" t="s">
        <v>74</v>
      </c>
      <c r="AZ514" t="s">
        <v>74</v>
      </c>
      <c r="BA514" t="s">
        <v>74</v>
      </c>
      <c r="BB514">
        <v>236</v>
      </c>
      <c r="BC514">
        <v>246</v>
      </c>
      <c r="BD514" t="s">
        <v>74</v>
      </c>
      <c r="BE514" t="s">
        <v>7137</v>
      </c>
      <c r="BF514" t="str">
        <f>HYPERLINK("http://dx.doi.org/10.1017/S0954102098000339","http://dx.doi.org/10.1017/S0954102098000339")</f>
        <v>http://dx.doi.org/10.1017/S0954102098000339</v>
      </c>
      <c r="BG514" t="s">
        <v>74</v>
      </c>
      <c r="BH514" t="s">
        <v>74</v>
      </c>
      <c r="BI514">
        <v>11</v>
      </c>
      <c r="BJ514" t="s">
        <v>3960</v>
      </c>
      <c r="BK514" t="s">
        <v>144</v>
      </c>
      <c r="BL514" t="s">
        <v>3961</v>
      </c>
      <c r="BM514" t="s">
        <v>7105</v>
      </c>
      <c r="BN514" t="s">
        <v>74</v>
      </c>
      <c r="BO514" t="s">
        <v>74</v>
      </c>
      <c r="BP514" t="s">
        <v>74</v>
      </c>
      <c r="BQ514" t="s">
        <v>74</v>
      </c>
      <c r="BR514" t="s">
        <v>98</v>
      </c>
      <c r="BS514" t="s">
        <v>7138</v>
      </c>
      <c r="BT514" t="str">
        <f>HYPERLINK("https%3A%2F%2Fwww.webofscience.com%2Fwos%2Fwoscc%2Ffull-record%2FWOS:000076015200004","View Full Record in Web of Science")</f>
        <v>View Full Record in Web of Science</v>
      </c>
    </row>
    <row r="515" spans="1:72" x14ac:dyDescent="0.15">
      <c r="A515" t="s">
        <v>72</v>
      </c>
      <c r="B515" t="s">
        <v>7139</v>
      </c>
      <c r="C515" t="s">
        <v>74</v>
      </c>
      <c r="D515" t="s">
        <v>74</v>
      </c>
      <c r="E515" t="s">
        <v>74</v>
      </c>
      <c r="F515" t="s">
        <v>7139</v>
      </c>
      <c r="G515" t="s">
        <v>74</v>
      </c>
      <c r="H515" t="s">
        <v>74</v>
      </c>
      <c r="I515" t="s">
        <v>7140</v>
      </c>
      <c r="J515" t="s">
        <v>3955</v>
      </c>
      <c r="K515" t="s">
        <v>74</v>
      </c>
      <c r="L515" t="s">
        <v>74</v>
      </c>
      <c r="M515" t="s">
        <v>77</v>
      </c>
      <c r="N515" t="s">
        <v>123</v>
      </c>
      <c r="O515" t="s">
        <v>7116</v>
      </c>
      <c r="P515" t="s">
        <v>7117</v>
      </c>
      <c r="Q515" t="s">
        <v>7118</v>
      </c>
      <c r="R515" t="s">
        <v>74</v>
      </c>
      <c r="S515" t="s">
        <v>74</v>
      </c>
      <c r="T515" t="s">
        <v>7141</v>
      </c>
      <c r="U515" t="s">
        <v>7142</v>
      </c>
      <c r="V515" t="s">
        <v>7143</v>
      </c>
      <c r="W515" t="s">
        <v>7144</v>
      </c>
      <c r="X515" t="s">
        <v>7145</v>
      </c>
      <c r="Y515" t="s">
        <v>7146</v>
      </c>
      <c r="Z515" t="s">
        <v>74</v>
      </c>
      <c r="AA515" t="s">
        <v>7147</v>
      </c>
      <c r="AB515" t="s">
        <v>7148</v>
      </c>
      <c r="AC515" t="s">
        <v>74</v>
      </c>
      <c r="AD515" t="s">
        <v>74</v>
      </c>
      <c r="AE515" t="s">
        <v>74</v>
      </c>
      <c r="AF515" t="s">
        <v>74</v>
      </c>
      <c r="AG515">
        <v>38</v>
      </c>
      <c r="AH515">
        <v>93</v>
      </c>
      <c r="AI515">
        <v>110</v>
      </c>
      <c r="AJ515">
        <v>0</v>
      </c>
      <c r="AK515">
        <v>12</v>
      </c>
      <c r="AL515" t="s">
        <v>948</v>
      </c>
      <c r="AM515" t="s">
        <v>278</v>
      </c>
      <c r="AN515" t="s">
        <v>3974</v>
      </c>
      <c r="AO515" t="s">
        <v>3956</v>
      </c>
      <c r="AP515" t="s">
        <v>3975</v>
      </c>
      <c r="AQ515" t="s">
        <v>74</v>
      </c>
      <c r="AR515" t="s">
        <v>3957</v>
      </c>
      <c r="AS515" t="s">
        <v>3958</v>
      </c>
      <c r="AT515" t="s">
        <v>7083</v>
      </c>
      <c r="AU515">
        <v>1998</v>
      </c>
      <c r="AV515">
        <v>10</v>
      </c>
      <c r="AW515">
        <v>3</v>
      </c>
      <c r="AX515" t="s">
        <v>74</v>
      </c>
      <c r="AY515" t="s">
        <v>74</v>
      </c>
      <c r="AZ515" t="s">
        <v>74</v>
      </c>
      <c r="BA515" t="s">
        <v>74</v>
      </c>
      <c r="BB515">
        <v>247</v>
      </c>
      <c r="BC515">
        <v>256</v>
      </c>
      <c r="BD515" t="s">
        <v>74</v>
      </c>
      <c r="BE515" t="s">
        <v>7149</v>
      </c>
      <c r="BF515" t="str">
        <f>HYPERLINK("http://dx.doi.org/10.1017/S0954102098000340","http://dx.doi.org/10.1017/S0954102098000340")</f>
        <v>http://dx.doi.org/10.1017/S0954102098000340</v>
      </c>
      <c r="BG515" t="s">
        <v>74</v>
      </c>
      <c r="BH515" t="s">
        <v>74</v>
      </c>
      <c r="BI515">
        <v>10</v>
      </c>
      <c r="BJ515" t="s">
        <v>3960</v>
      </c>
      <c r="BK515" t="s">
        <v>144</v>
      </c>
      <c r="BL515" t="s">
        <v>3961</v>
      </c>
      <c r="BM515" t="s">
        <v>7105</v>
      </c>
      <c r="BN515" t="s">
        <v>74</v>
      </c>
      <c r="BO515" t="s">
        <v>74</v>
      </c>
      <c r="BP515" t="s">
        <v>74</v>
      </c>
      <c r="BQ515" t="s">
        <v>74</v>
      </c>
      <c r="BR515" t="s">
        <v>98</v>
      </c>
      <c r="BS515" t="s">
        <v>7150</v>
      </c>
      <c r="BT515" t="str">
        <f>HYPERLINK("https%3A%2F%2Fwww.webofscience.com%2Fwos%2Fwoscc%2Ffull-record%2FWOS:000076015200005","View Full Record in Web of Science")</f>
        <v>View Full Record in Web of Science</v>
      </c>
    </row>
    <row r="516" spans="1:72" x14ac:dyDescent="0.15">
      <c r="A516" t="s">
        <v>72</v>
      </c>
      <c r="B516" t="s">
        <v>7151</v>
      </c>
      <c r="C516" t="s">
        <v>74</v>
      </c>
      <c r="D516" t="s">
        <v>74</v>
      </c>
      <c r="E516" t="s">
        <v>74</v>
      </c>
      <c r="F516" t="s">
        <v>7151</v>
      </c>
      <c r="G516" t="s">
        <v>74</v>
      </c>
      <c r="H516" t="s">
        <v>74</v>
      </c>
      <c r="I516" t="s">
        <v>7152</v>
      </c>
      <c r="J516" t="s">
        <v>3955</v>
      </c>
      <c r="K516" t="s">
        <v>74</v>
      </c>
      <c r="L516" t="s">
        <v>74</v>
      </c>
      <c r="M516" t="s">
        <v>77</v>
      </c>
      <c r="N516" t="s">
        <v>123</v>
      </c>
      <c r="O516" t="s">
        <v>7116</v>
      </c>
      <c r="P516" t="s">
        <v>7117</v>
      </c>
      <c r="Q516" t="s">
        <v>7118</v>
      </c>
      <c r="R516" t="s">
        <v>74</v>
      </c>
      <c r="S516" t="s">
        <v>74</v>
      </c>
      <c r="T516" t="s">
        <v>7153</v>
      </c>
      <c r="U516" t="s">
        <v>7154</v>
      </c>
      <c r="V516" t="s">
        <v>7155</v>
      </c>
      <c r="W516" t="s">
        <v>7156</v>
      </c>
      <c r="X516" t="s">
        <v>7157</v>
      </c>
      <c r="Y516" t="s">
        <v>7158</v>
      </c>
      <c r="Z516" t="s">
        <v>74</v>
      </c>
      <c r="AA516" t="s">
        <v>7102</v>
      </c>
      <c r="AB516" t="s">
        <v>74</v>
      </c>
      <c r="AC516" t="s">
        <v>74</v>
      </c>
      <c r="AD516" t="s">
        <v>74</v>
      </c>
      <c r="AE516" t="s">
        <v>74</v>
      </c>
      <c r="AF516" t="s">
        <v>74</v>
      </c>
      <c r="AG516">
        <v>39</v>
      </c>
      <c r="AH516">
        <v>91</v>
      </c>
      <c r="AI516">
        <v>106</v>
      </c>
      <c r="AJ516">
        <v>2</v>
      </c>
      <c r="AK516">
        <v>34</v>
      </c>
      <c r="AL516" t="s">
        <v>948</v>
      </c>
      <c r="AM516" t="s">
        <v>278</v>
      </c>
      <c r="AN516" t="s">
        <v>3974</v>
      </c>
      <c r="AO516" t="s">
        <v>3956</v>
      </c>
      <c r="AP516" t="s">
        <v>3975</v>
      </c>
      <c r="AQ516" t="s">
        <v>74</v>
      </c>
      <c r="AR516" t="s">
        <v>3957</v>
      </c>
      <c r="AS516" t="s">
        <v>3958</v>
      </c>
      <c r="AT516" t="s">
        <v>7083</v>
      </c>
      <c r="AU516">
        <v>1998</v>
      </c>
      <c r="AV516">
        <v>10</v>
      </c>
      <c r="AW516">
        <v>3</v>
      </c>
      <c r="AX516" t="s">
        <v>74</v>
      </c>
      <c r="AY516" t="s">
        <v>74</v>
      </c>
      <c r="AZ516" t="s">
        <v>74</v>
      </c>
      <c r="BA516" t="s">
        <v>74</v>
      </c>
      <c r="BB516">
        <v>257</v>
      </c>
      <c r="BC516">
        <v>268</v>
      </c>
      <c r="BD516" t="s">
        <v>74</v>
      </c>
      <c r="BE516" t="s">
        <v>7159</v>
      </c>
      <c r="BF516" t="str">
        <f>HYPERLINK("http://dx.doi.org/10.1017/S0954102098000352","http://dx.doi.org/10.1017/S0954102098000352")</f>
        <v>http://dx.doi.org/10.1017/S0954102098000352</v>
      </c>
      <c r="BG516" t="s">
        <v>74</v>
      </c>
      <c r="BH516" t="s">
        <v>74</v>
      </c>
      <c r="BI516">
        <v>12</v>
      </c>
      <c r="BJ516" t="s">
        <v>3960</v>
      </c>
      <c r="BK516" t="s">
        <v>144</v>
      </c>
      <c r="BL516" t="s">
        <v>3961</v>
      </c>
      <c r="BM516" t="s">
        <v>7105</v>
      </c>
      <c r="BN516" t="s">
        <v>74</v>
      </c>
      <c r="BO516" t="s">
        <v>74</v>
      </c>
      <c r="BP516" t="s">
        <v>74</v>
      </c>
      <c r="BQ516" t="s">
        <v>74</v>
      </c>
      <c r="BR516" t="s">
        <v>98</v>
      </c>
      <c r="BS516" t="s">
        <v>7160</v>
      </c>
      <c r="BT516" t="str">
        <f>HYPERLINK("https%3A%2F%2Fwww.webofscience.com%2Fwos%2Fwoscc%2Ffull-record%2FWOS:000076015200006","View Full Record in Web of Science")</f>
        <v>View Full Record in Web of Science</v>
      </c>
    </row>
    <row r="517" spans="1:72" x14ac:dyDescent="0.15">
      <c r="A517" t="s">
        <v>72</v>
      </c>
      <c r="B517" t="s">
        <v>7161</v>
      </c>
      <c r="C517" t="s">
        <v>74</v>
      </c>
      <c r="D517" t="s">
        <v>74</v>
      </c>
      <c r="E517" t="s">
        <v>74</v>
      </c>
      <c r="F517" t="s">
        <v>7161</v>
      </c>
      <c r="G517" t="s">
        <v>74</v>
      </c>
      <c r="H517" t="s">
        <v>74</v>
      </c>
      <c r="I517" t="s">
        <v>7162</v>
      </c>
      <c r="J517" t="s">
        <v>3955</v>
      </c>
      <c r="K517" t="s">
        <v>74</v>
      </c>
      <c r="L517" t="s">
        <v>74</v>
      </c>
      <c r="M517" t="s">
        <v>77</v>
      </c>
      <c r="N517" t="s">
        <v>123</v>
      </c>
      <c r="O517" t="s">
        <v>7116</v>
      </c>
      <c r="P517" t="s">
        <v>7117</v>
      </c>
      <c r="Q517" t="s">
        <v>7118</v>
      </c>
      <c r="R517" t="s">
        <v>74</v>
      </c>
      <c r="S517" t="s">
        <v>74</v>
      </c>
      <c r="T517" t="s">
        <v>7163</v>
      </c>
      <c r="U517" t="s">
        <v>7164</v>
      </c>
      <c r="V517" t="s">
        <v>7165</v>
      </c>
      <c r="W517" t="s">
        <v>7166</v>
      </c>
      <c r="X517" t="s">
        <v>7167</v>
      </c>
      <c r="Y517" t="s">
        <v>7168</v>
      </c>
      <c r="Z517" t="s">
        <v>74</v>
      </c>
      <c r="AA517" t="s">
        <v>7169</v>
      </c>
      <c r="AB517" t="s">
        <v>7170</v>
      </c>
      <c r="AC517" t="s">
        <v>74</v>
      </c>
      <c r="AD517" t="s">
        <v>74</v>
      </c>
      <c r="AE517" t="s">
        <v>74</v>
      </c>
      <c r="AF517" t="s">
        <v>74</v>
      </c>
      <c r="AG517">
        <v>77</v>
      </c>
      <c r="AH517">
        <v>44</v>
      </c>
      <c r="AI517">
        <v>47</v>
      </c>
      <c r="AJ517">
        <v>1</v>
      </c>
      <c r="AK517">
        <v>4</v>
      </c>
      <c r="AL517" t="s">
        <v>948</v>
      </c>
      <c r="AM517" t="s">
        <v>278</v>
      </c>
      <c r="AN517" t="s">
        <v>3974</v>
      </c>
      <c r="AO517" t="s">
        <v>3956</v>
      </c>
      <c r="AP517" t="s">
        <v>3975</v>
      </c>
      <c r="AQ517" t="s">
        <v>74</v>
      </c>
      <c r="AR517" t="s">
        <v>3957</v>
      </c>
      <c r="AS517" t="s">
        <v>3958</v>
      </c>
      <c r="AT517" t="s">
        <v>7083</v>
      </c>
      <c r="AU517">
        <v>1998</v>
      </c>
      <c r="AV517">
        <v>10</v>
      </c>
      <c r="AW517">
        <v>3</v>
      </c>
      <c r="AX517" t="s">
        <v>74</v>
      </c>
      <c r="AY517" t="s">
        <v>74</v>
      </c>
      <c r="AZ517" t="s">
        <v>74</v>
      </c>
      <c r="BA517" t="s">
        <v>74</v>
      </c>
      <c r="BB517">
        <v>269</v>
      </c>
      <c r="BC517">
        <v>285</v>
      </c>
      <c r="BD517" t="s">
        <v>74</v>
      </c>
      <c r="BE517" t="s">
        <v>7171</v>
      </c>
      <c r="BF517" t="str">
        <f>HYPERLINK("http://dx.doi.org/10.1017/S0954102098000364","http://dx.doi.org/10.1017/S0954102098000364")</f>
        <v>http://dx.doi.org/10.1017/S0954102098000364</v>
      </c>
      <c r="BG517" t="s">
        <v>74</v>
      </c>
      <c r="BH517" t="s">
        <v>74</v>
      </c>
      <c r="BI517">
        <v>17</v>
      </c>
      <c r="BJ517" t="s">
        <v>3960</v>
      </c>
      <c r="BK517" t="s">
        <v>144</v>
      </c>
      <c r="BL517" t="s">
        <v>3961</v>
      </c>
      <c r="BM517" t="s">
        <v>7105</v>
      </c>
      <c r="BN517" t="s">
        <v>74</v>
      </c>
      <c r="BO517" t="s">
        <v>74</v>
      </c>
      <c r="BP517" t="s">
        <v>74</v>
      </c>
      <c r="BQ517" t="s">
        <v>74</v>
      </c>
      <c r="BR517" t="s">
        <v>98</v>
      </c>
      <c r="BS517" t="s">
        <v>7172</v>
      </c>
      <c r="BT517" t="str">
        <f>HYPERLINK("https%3A%2F%2Fwww.webofscience.com%2Fwos%2Fwoscc%2Ffull-record%2FWOS:000076015200007","View Full Record in Web of Science")</f>
        <v>View Full Record in Web of Science</v>
      </c>
    </row>
    <row r="518" spans="1:72" x14ac:dyDescent="0.15">
      <c r="A518" t="s">
        <v>72</v>
      </c>
      <c r="B518" t="s">
        <v>7173</v>
      </c>
      <c r="C518" t="s">
        <v>74</v>
      </c>
      <c r="D518" t="s">
        <v>74</v>
      </c>
      <c r="E518" t="s">
        <v>74</v>
      </c>
      <c r="F518" t="s">
        <v>7173</v>
      </c>
      <c r="G518" t="s">
        <v>74</v>
      </c>
      <c r="H518" t="s">
        <v>74</v>
      </c>
      <c r="I518" t="s">
        <v>7174</v>
      </c>
      <c r="J518" t="s">
        <v>3955</v>
      </c>
      <c r="K518" t="s">
        <v>74</v>
      </c>
      <c r="L518" t="s">
        <v>74</v>
      </c>
      <c r="M518" t="s">
        <v>77</v>
      </c>
      <c r="N518" t="s">
        <v>123</v>
      </c>
      <c r="O518" t="s">
        <v>7116</v>
      </c>
      <c r="P518" t="s">
        <v>7117</v>
      </c>
      <c r="Q518" t="s">
        <v>7118</v>
      </c>
      <c r="R518" t="s">
        <v>74</v>
      </c>
      <c r="S518" t="s">
        <v>74</v>
      </c>
      <c r="T518" t="s">
        <v>7175</v>
      </c>
      <c r="U518" t="s">
        <v>7176</v>
      </c>
      <c r="V518" t="s">
        <v>7177</v>
      </c>
      <c r="W518" t="s">
        <v>7178</v>
      </c>
      <c r="X518" t="s">
        <v>628</v>
      </c>
      <c r="Y518" t="s">
        <v>3708</v>
      </c>
      <c r="Z518" t="s">
        <v>74</v>
      </c>
      <c r="AA518" t="s">
        <v>7179</v>
      </c>
      <c r="AB518" t="s">
        <v>7180</v>
      </c>
      <c r="AC518" t="s">
        <v>74</v>
      </c>
      <c r="AD518" t="s">
        <v>74</v>
      </c>
      <c r="AE518" t="s">
        <v>74</v>
      </c>
      <c r="AF518" t="s">
        <v>74</v>
      </c>
      <c r="AG518">
        <v>93</v>
      </c>
      <c r="AH518">
        <v>74</v>
      </c>
      <c r="AI518">
        <v>80</v>
      </c>
      <c r="AJ518">
        <v>0</v>
      </c>
      <c r="AK518">
        <v>7</v>
      </c>
      <c r="AL518" t="s">
        <v>948</v>
      </c>
      <c r="AM518" t="s">
        <v>278</v>
      </c>
      <c r="AN518" t="s">
        <v>3974</v>
      </c>
      <c r="AO518" t="s">
        <v>3956</v>
      </c>
      <c r="AP518" t="s">
        <v>3975</v>
      </c>
      <c r="AQ518" t="s">
        <v>74</v>
      </c>
      <c r="AR518" t="s">
        <v>3957</v>
      </c>
      <c r="AS518" t="s">
        <v>3958</v>
      </c>
      <c r="AT518" t="s">
        <v>7083</v>
      </c>
      <c r="AU518">
        <v>1998</v>
      </c>
      <c r="AV518">
        <v>10</v>
      </c>
      <c r="AW518">
        <v>3</v>
      </c>
      <c r="AX518" t="s">
        <v>74</v>
      </c>
      <c r="AY518" t="s">
        <v>74</v>
      </c>
      <c r="AZ518" t="s">
        <v>74</v>
      </c>
      <c r="BA518" t="s">
        <v>74</v>
      </c>
      <c r="BB518">
        <v>286</v>
      </c>
      <c r="BC518">
        <v>308</v>
      </c>
      <c r="BD518" t="s">
        <v>74</v>
      </c>
      <c r="BE518" t="s">
        <v>7181</v>
      </c>
      <c r="BF518" t="str">
        <f>HYPERLINK("http://dx.doi.org/10.1017/S0954102098000376","http://dx.doi.org/10.1017/S0954102098000376")</f>
        <v>http://dx.doi.org/10.1017/S0954102098000376</v>
      </c>
      <c r="BG518" t="s">
        <v>74</v>
      </c>
      <c r="BH518" t="s">
        <v>74</v>
      </c>
      <c r="BI518">
        <v>23</v>
      </c>
      <c r="BJ518" t="s">
        <v>3960</v>
      </c>
      <c r="BK518" t="s">
        <v>144</v>
      </c>
      <c r="BL518" t="s">
        <v>3961</v>
      </c>
      <c r="BM518" t="s">
        <v>7105</v>
      </c>
      <c r="BN518" t="s">
        <v>74</v>
      </c>
      <c r="BO518" t="s">
        <v>74</v>
      </c>
      <c r="BP518" t="s">
        <v>74</v>
      </c>
      <c r="BQ518" t="s">
        <v>74</v>
      </c>
      <c r="BR518" t="s">
        <v>98</v>
      </c>
      <c r="BS518" t="s">
        <v>7182</v>
      </c>
      <c r="BT518" t="str">
        <f>HYPERLINK("https%3A%2F%2Fwww.webofscience.com%2Fwos%2Fwoscc%2Ffull-record%2FWOS:000076015200008","View Full Record in Web of Science")</f>
        <v>View Full Record in Web of Science</v>
      </c>
    </row>
    <row r="519" spans="1:72" x14ac:dyDescent="0.15">
      <c r="A519" t="s">
        <v>72</v>
      </c>
      <c r="B519" t="s">
        <v>7183</v>
      </c>
      <c r="C519" t="s">
        <v>74</v>
      </c>
      <c r="D519" t="s">
        <v>74</v>
      </c>
      <c r="E519" t="s">
        <v>74</v>
      </c>
      <c r="F519" t="s">
        <v>7183</v>
      </c>
      <c r="G519" t="s">
        <v>74</v>
      </c>
      <c r="H519" t="s">
        <v>74</v>
      </c>
      <c r="I519" t="s">
        <v>7184</v>
      </c>
      <c r="J519" t="s">
        <v>3955</v>
      </c>
      <c r="K519" t="s">
        <v>74</v>
      </c>
      <c r="L519" t="s">
        <v>74</v>
      </c>
      <c r="M519" t="s">
        <v>77</v>
      </c>
      <c r="N519" t="s">
        <v>123</v>
      </c>
      <c r="O519" t="s">
        <v>7116</v>
      </c>
      <c r="P519" t="s">
        <v>7117</v>
      </c>
      <c r="Q519" t="s">
        <v>7118</v>
      </c>
      <c r="R519" t="s">
        <v>74</v>
      </c>
      <c r="S519" t="s">
        <v>74</v>
      </c>
      <c r="T519" t="s">
        <v>7185</v>
      </c>
      <c r="U519" t="s">
        <v>7186</v>
      </c>
      <c r="V519" t="s">
        <v>7187</v>
      </c>
      <c r="W519" t="s">
        <v>7188</v>
      </c>
      <c r="X519" t="s">
        <v>7189</v>
      </c>
      <c r="Y519" t="s">
        <v>3251</v>
      </c>
      <c r="Z519" t="s">
        <v>3252</v>
      </c>
      <c r="AA519" t="s">
        <v>7190</v>
      </c>
      <c r="AB519" t="s">
        <v>7191</v>
      </c>
      <c r="AC519" t="s">
        <v>74</v>
      </c>
      <c r="AD519" t="s">
        <v>74</v>
      </c>
      <c r="AE519" t="s">
        <v>74</v>
      </c>
      <c r="AF519" t="s">
        <v>74</v>
      </c>
      <c r="AG519">
        <v>55</v>
      </c>
      <c r="AH519">
        <v>103</v>
      </c>
      <c r="AI519">
        <v>114</v>
      </c>
      <c r="AJ519">
        <v>1</v>
      </c>
      <c r="AK519">
        <v>9</v>
      </c>
      <c r="AL519" t="s">
        <v>948</v>
      </c>
      <c r="AM519" t="s">
        <v>278</v>
      </c>
      <c r="AN519" t="s">
        <v>3974</v>
      </c>
      <c r="AO519" t="s">
        <v>3956</v>
      </c>
      <c r="AP519" t="s">
        <v>3975</v>
      </c>
      <c r="AQ519" t="s">
        <v>74</v>
      </c>
      <c r="AR519" t="s">
        <v>3957</v>
      </c>
      <c r="AS519" t="s">
        <v>3958</v>
      </c>
      <c r="AT519" t="s">
        <v>7083</v>
      </c>
      <c r="AU519">
        <v>1998</v>
      </c>
      <c r="AV519">
        <v>10</v>
      </c>
      <c r="AW519">
        <v>3</v>
      </c>
      <c r="AX519" t="s">
        <v>74</v>
      </c>
      <c r="AY519" t="s">
        <v>74</v>
      </c>
      <c r="AZ519" t="s">
        <v>74</v>
      </c>
      <c r="BA519" t="s">
        <v>74</v>
      </c>
      <c r="BB519">
        <v>309</v>
      </c>
      <c r="BC519">
        <v>325</v>
      </c>
      <c r="BD519" t="s">
        <v>74</v>
      </c>
      <c r="BE519" t="s">
        <v>7192</v>
      </c>
      <c r="BF519" t="str">
        <f>HYPERLINK("http://dx.doi.org/10.1017/S0954102098000388","http://dx.doi.org/10.1017/S0954102098000388")</f>
        <v>http://dx.doi.org/10.1017/S0954102098000388</v>
      </c>
      <c r="BG519" t="s">
        <v>74</v>
      </c>
      <c r="BH519" t="s">
        <v>74</v>
      </c>
      <c r="BI519">
        <v>17</v>
      </c>
      <c r="BJ519" t="s">
        <v>3960</v>
      </c>
      <c r="BK519" t="s">
        <v>144</v>
      </c>
      <c r="BL519" t="s">
        <v>3961</v>
      </c>
      <c r="BM519" t="s">
        <v>7105</v>
      </c>
      <c r="BN519" t="s">
        <v>74</v>
      </c>
      <c r="BO519" t="s">
        <v>74</v>
      </c>
      <c r="BP519" t="s">
        <v>74</v>
      </c>
      <c r="BQ519" t="s">
        <v>74</v>
      </c>
      <c r="BR519" t="s">
        <v>98</v>
      </c>
      <c r="BS519" t="s">
        <v>7193</v>
      </c>
      <c r="BT519" t="str">
        <f>HYPERLINK("https%3A%2F%2Fwww.webofscience.com%2Fwos%2Fwoscc%2Ffull-record%2FWOS:000076015200009","View Full Record in Web of Science")</f>
        <v>View Full Record in Web of Science</v>
      </c>
    </row>
    <row r="520" spans="1:72" x14ac:dyDescent="0.15">
      <c r="A520" t="s">
        <v>72</v>
      </c>
      <c r="B520" t="s">
        <v>7194</v>
      </c>
      <c r="C520" t="s">
        <v>74</v>
      </c>
      <c r="D520" t="s">
        <v>74</v>
      </c>
      <c r="E520" t="s">
        <v>74</v>
      </c>
      <c r="F520" t="s">
        <v>7194</v>
      </c>
      <c r="G520" t="s">
        <v>74</v>
      </c>
      <c r="H520" t="s">
        <v>74</v>
      </c>
      <c r="I520" t="s">
        <v>7195</v>
      </c>
      <c r="J520" t="s">
        <v>3955</v>
      </c>
      <c r="K520" t="s">
        <v>74</v>
      </c>
      <c r="L520" t="s">
        <v>74</v>
      </c>
      <c r="M520" t="s">
        <v>77</v>
      </c>
      <c r="N520" t="s">
        <v>123</v>
      </c>
      <c r="O520" t="s">
        <v>7116</v>
      </c>
      <c r="P520" t="s">
        <v>7117</v>
      </c>
      <c r="Q520" t="s">
        <v>7118</v>
      </c>
      <c r="R520" t="s">
        <v>74</v>
      </c>
      <c r="S520" t="s">
        <v>74</v>
      </c>
      <c r="T520" t="s">
        <v>7196</v>
      </c>
      <c r="U520" t="s">
        <v>7197</v>
      </c>
      <c r="V520" t="s">
        <v>7198</v>
      </c>
      <c r="W520" t="s">
        <v>7199</v>
      </c>
      <c r="X520" t="s">
        <v>7200</v>
      </c>
      <c r="Y520" t="s">
        <v>7201</v>
      </c>
      <c r="Z520" t="s">
        <v>74</v>
      </c>
      <c r="AA520" t="s">
        <v>7202</v>
      </c>
      <c r="AB520" t="s">
        <v>7203</v>
      </c>
      <c r="AC520" t="s">
        <v>74</v>
      </c>
      <c r="AD520" t="s">
        <v>74</v>
      </c>
      <c r="AE520" t="s">
        <v>74</v>
      </c>
      <c r="AF520" t="s">
        <v>74</v>
      </c>
      <c r="AG520">
        <v>155</v>
      </c>
      <c r="AH520">
        <v>182</v>
      </c>
      <c r="AI520">
        <v>201</v>
      </c>
      <c r="AJ520">
        <v>0</v>
      </c>
      <c r="AK520">
        <v>37</v>
      </c>
      <c r="AL520" t="s">
        <v>948</v>
      </c>
      <c r="AM520" t="s">
        <v>278</v>
      </c>
      <c r="AN520" t="s">
        <v>3974</v>
      </c>
      <c r="AO520" t="s">
        <v>3956</v>
      </c>
      <c r="AP520" t="s">
        <v>3975</v>
      </c>
      <c r="AQ520" t="s">
        <v>74</v>
      </c>
      <c r="AR520" t="s">
        <v>3957</v>
      </c>
      <c r="AS520" t="s">
        <v>3958</v>
      </c>
      <c r="AT520" t="s">
        <v>7083</v>
      </c>
      <c r="AU520">
        <v>1998</v>
      </c>
      <c r="AV520">
        <v>10</v>
      </c>
      <c r="AW520">
        <v>3</v>
      </c>
      <c r="AX520" t="s">
        <v>74</v>
      </c>
      <c r="AY520" t="s">
        <v>74</v>
      </c>
      <c r="AZ520" t="s">
        <v>74</v>
      </c>
      <c r="BA520" t="s">
        <v>74</v>
      </c>
      <c r="BB520">
        <v>326</v>
      </c>
      <c r="BC520">
        <v>344</v>
      </c>
      <c r="BD520" t="s">
        <v>74</v>
      </c>
      <c r="BE520" t="s">
        <v>7204</v>
      </c>
      <c r="BF520" t="str">
        <f>HYPERLINK("http://dx.doi.org/10.1017/S095410209800039X","http://dx.doi.org/10.1017/S095410209800039X")</f>
        <v>http://dx.doi.org/10.1017/S095410209800039X</v>
      </c>
      <c r="BG520" t="s">
        <v>74</v>
      </c>
      <c r="BH520" t="s">
        <v>74</v>
      </c>
      <c r="BI520">
        <v>19</v>
      </c>
      <c r="BJ520" t="s">
        <v>3960</v>
      </c>
      <c r="BK520" t="s">
        <v>144</v>
      </c>
      <c r="BL520" t="s">
        <v>3961</v>
      </c>
      <c r="BM520" t="s">
        <v>7105</v>
      </c>
      <c r="BN520" t="s">
        <v>74</v>
      </c>
      <c r="BO520" t="s">
        <v>483</v>
      </c>
      <c r="BP520" t="s">
        <v>74</v>
      </c>
      <c r="BQ520" t="s">
        <v>74</v>
      </c>
      <c r="BR520" t="s">
        <v>98</v>
      </c>
      <c r="BS520" t="s">
        <v>7205</v>
      </c>
      <c r="BT520" t="str">
        <f>HYPERLINK("https%3A%2F%2Fwww.webofscience.com%2Fwos%2Fwoscc%2Ffull-record%2FWOS:000076015200010","View Full Record in Web of Science")</f>
        <v>View Full Record in Web of Science</v>
      </c>
    </row>
    <row r="521" spans="1:72" x14ac:dyDescent="0.15">
      <c r="A521" t="s">
        <v>72</v>
      </c>
      <c r="B521" t="s">
        <v>7206</v>
      </c>
      <c r="C521" t="s">
        <v>74</v>
      </c>
      <c r="D521" t="s">
        <v>74</v>
      </c>
      <c r="E521" t="s">
        <v>74</v>
      </c>
      <c r="F521" t="s">
        <v>7206</v>
      </c>
      <c r="G521" t="s">
        <v>74</v>
      </c>
      <c r="H521" t="s">
        <v>74</v>
      </c>
      <c r="I521" t="s">
        <v>7207</v>
      </c>
      <c r="J521" t="s">
        <v>3955</v>
      </c>
      <c r="K521" t="s">
        <v>74</v>
      </c>
      <c r="L521" t="s">
        <v>74</v>
      </c>
      <c r="M521" t="s">
        <v>77</v>
      </c>
      <c r="N521" t="s">
        <v>123</v>
      </c>
      <c r="O521" t="s">
        <v>7116</v>
      </c>
      <c r="P521" t="s">
        <v>7117</v>
      </c>
      <c r="Q521" t="s">
        <v>7118</v>
      </c>
      <c r="R521" t="s">
        <v>74</v>
      </c>
      <c r="S521" t="s">
        <v>74</v>
      </c>
      <c r="T521" t="s">
        <v>7208</v>
      </c>
      <c r="U521" t="s">
        <v>7209</v>
      </c>
      <c r="V521" t="s">
        <v>7210</v>
      </c>
      <c r="W521" t="s">
        <v>7211</v>
      </c>
      <c r="X521" t="s">
        <v>7212</v>
      </c>
      <c r="Y521" t="s">
        <v>7213</v>
      </c>
      <c r="Z521" t="s">
        <v>74</v>
      </c>
      <c r="AA521" t="s">
        <v>7214</v>
      </c>
      <c r="AB521" t="s">
        <v>7215</v>
      </c>
      <c r="AC521" t="s">
        <v>74</v>
      </c>
      <c r="AD521" t="s">
        <v>74</v>
      </c>
      <c r="AE521" t="s">
        <v>74</v>
      </c>
      <c r="AF521" t="s">
        <v>74</v>
      </c>
      <c r="AG521">
        <v>197</v>
      </c>
      <c r="AH521">
        <v>80</v>
      </c>
      <c r="AI521">
        <v>90</v>
      </c>
      <c r="AJ521">
        <v>0</v>
      </c>
      <c r="AK521">
        <v>14</v>
      </c>
      <c r="AL521" t="s">
        <v>948</v>
      </c>
      <c r="AM521" t="s">
        <v>278</v>
      </c>
      <c r="AN521" t="s">
        <v>3974</v>
      </c>
      <c r="AO521" t="s">
        <v>3956</v>
      </c>
      <c r="AP521" t="s">
        <v>3975</v>
      </c>
      <c r="AQ521" t="s">
        <v>74</v>
      </c>
      <c r="AR521" t="s">
        <v>3957</v>
      </c>
      <c r="AS521" t="s">
        <v>3958</v>
      </c>
      <c r="AT521" t="s">
        <v>7083</v>
      </c>
      <c r="AU521">
        <v>1998</v>
      </c>
      <c r="AV521">
        <v>10</v>
      </c>
      <c r="AW521">
        <v>3</v>
      </c>
      <c r="AX521" t="s">
        <v>74</v>
      </c>
      <c r="AY521" t="s">
        <v>74</v>
      </c>
      <c r="AZ521" t="s">
        <v>74</v>
      </c>
      <c r="BA521" t="s">
        <v>74</v>
      </c>
      <c r="BB521">
        <v>345</v>
      </c>
      <c r="BC521">
        <v>362</v>
      </c>
      <c r="BD521" t="s">
        <v>74</v>
      </c>
      <c r="BE521" t="s">
        <v>7216</v>
      </c>
      <c r="BF521" t="str">
        <f>HYPERLINK("http://dx.doi.org/10.1017/S0954102098000406","http://dx.doi.org/10.1017/S0954102098000406")</f>
        <v>http://dx.doi.org/10.1017/S0954102098000406</v>
      </c>
      <c r="BG521" t="s">
        <v>74</v>
      </c>
      <c r="BH521" t="s">
        <v>74</v>
      </c>
      <c r="BI521">
        <v>18</v>
      </c>
      <c r="BJ521" t="s">
        <v>3960</v>
      </c>
      <c r="BK521" t="s">
        <v>144</v>
      </c>
      <c r="BL521" t="s">
        <v>3961</v>
      </c>
      <c r="BM521" t="s">
        <v>7105</v>
      </c>
      <c r="BN521" t="s">
        <v>74</v>
      </c>
      <c r="BO521" t="s">
        <v>483</v>
      </c>
      <c r="BP521" t="s">
        <v>74</v>
      </c>
      <c r="BQ521" t="s">
        <v>74</v>
      </c>
      <c r="BR521" t="s">
        <v>98</v>
      </c>
      <c r="BS521" t="s">
        <v>7217</v>
      </c>
      <c r="BT521" t="str">
        <f>HYPERLINK("https%3A%2F%2Fwww.webofscience.com%2Fwos%2Fwoscc%2Ffull-record%2FWOS:000076015200011","View Full Record in Web of Science")</f>
        <v>View Full Record in Web of Science</v>
      </c>
    </row>
    <row r="522" spans="1:72" x14ac:dyDescent="0.15">
      <c r="A522" t="s">
        <v>72</v>
      </c>
      <c r="B522" t="s">
        <v>7218</v>
      </c>
      <c r="C522" t="s">
        <v>74</v>
      </c>
      <c r="D522" t="s">
        <v>74</v>
      </c>
      <c r="E522" t="s">
        <v>74</v>
      </c>
      <c r="F522" t="s">
        <v>7218</v>
      </c>
      <c r="G522" t="s">
        <v>74</v>
      </c>
      <c r="H522" t="s">
        <v>74</v>
      </c>
      <c r="I522" t="s">
        <v>7219</v>
      </c>
      <c r="J522" t="s">
        <v>7220</v>
      </c>
      <c r="K522" t="s">
        <v>74</v>
      </c>
      <c r="L522" t="s">
        <v>74</v>
      </c>
      <c r="M522" t="s">
        <v>77</v>
      </c>
      <c r="N522" t="s">
        <v>103</v>
      </c>
      <c r="O522" t="s">
        <v>74</v>
      </c>
      <c r="P522" t="s">
        <v>74</v>
      </c>
      <c r="Q522" t="s">
        <v>74</v>
      </c>
      <c r="R522" t="s">
        <v>74</v>
      </c>
      <c r="S522" t="s">
        <v>74</v>
      </c>
      <c r="T522" t="s">
        <v>7221</v>
      </c>
      <c r="U522" t="s">
        <v>7222</v>
      </c>
      <c r="V522" t="s">
        <v>7223</v>
      </c>
      <c r="W522" t="s">
        <v>7224</v>
      </c>
      <c r="X522" t="s">
        <v>628</v>
      </c>
      <c r="Y522" t="s">
        <v>2008</v>
      </c>
      <c r="Z522" t="s">
        <v>7225</v>
      </c>
      <c r="AA522" t="s">
        <v>6864</v>
      </c>
      <c r="AB522" t="s">
        <v>6865</v>
      </c>
      <c r="AC522" t="s">
        <v>74</v>
      </c>
      <c r="AD522" t="s">
        <v>74</v>
      </c>
      <c r="AE522" t="s">
        <v>74</v>
      </c>
      <c r="AF522" t="s">
        <v>74</v>
      </c>
      <c r="AG522">
        <v>21</v>
      </c>
      <c r="AH522">
        <v>16</v>
      </c>
      <c r="AI522">
        <v>17</v>
      </c>
      <c r="AJ522">
        <v>0</v>
      </c>
      <c r="AK522">
        <v>5</v>
      </c>
      <c r="AL522" t="s">
        <v>3722</v>
      </c>
      <c r="AM522" t="s">
        <v>1038</v>
      </c>
      <c r="AN522" t="s">
        <v>3723</v>
      </c>
      <c r="AO522" t="s">
        <v>7226</v>
      </c>
      <c r="AP522" t="s">
        <v>7227</v>
      </c>
      <c r="AQ522" t="s">
        <v>74</v>
      </c>
      <c r="AR522" t="s">
        <v>7228</v>
      </c>
      <c r="AS522" t="s">
        <v>7229</v>
      </c>
      <c r="AT522" t="s">
        <v>7083</v>
      </c>
      <c r="AU522">
        <v>1998</v>
      </c>
      <c r="AV522">
        <v>9</v>
      </c>
      <c r="AW522" t="s">
        <v>2597</v>
      </c>
      <c r="AX522" t="s">
        <v>74</v>
      </c>
      <c r="AY522" t="s">
        <v>74</v>
      </c>
      <c r="AZ522" t="s">
        <v>1835</v>
      </c>
      <c r="BA522" t="s">
        <v>74</v>
      </c>
      <c r="BB522">
        <v>93</v>
      </c>
      <c r="BC522">
        <v>99</v>
      </c>
      <c r="BD522" t="s">
        <v>74</v>
      </c>
      <c r="BE522" t="s">
        <v>7230</v>
      </c>
      <c r="BF522" t="str">
        <f>HYPERLINK("http://dx.doi.org/10.1016/S0929-1393(98)00060-2","http://dx.doi.org/10.1016/S0929-1393(98)00060-2")</f>
        <v>http://dx.doi.org/10.1016/S0929-1393(98)00060-2</v>
      </c>
      <c r="BG522" t="s">
        <v>74</v>
      </c>
      <c r="BH522" t="s">
        <v>74</v>
      </c>
      <c r="BI522">
        <v>7</v>
      </c>
      <c r="BJ522" t="s">
        <v>94</v>
      </c>
      <c r="BK522" t="s">
        <v>95</v>
      </c>
      <c r="BL522" t="s">
        <v>96</v>
      </c>
      <c r="BM522" t="s">
        <v>7231</v>
      </c>
      <c r="BN522" t="s">
        <v>74</v>
      </c>
      <c r="BO522" t="s">
        <v>74</v>
      </c>
      <c r="BP522" t="s">
        <v>74</v>
      </c>
      <c r="BQ522" t="s">
        <v>74</v>
      </c>
      <c r="BR522" t="s">
        <v>98</v>
      </c>
      <c r="BS522" t="s">
        <v>7232</v>
      </c>
      <c r="BT522" t="str">
        <f>HYPERLINK("https%3A%2F%2Fwww.webofscience.com%2Fwos%2Fwoscc%2Ffull-record%2FWOS:000076034500016","View Full Record in Web of Science")</f>
        <v>View Full Record in Web of Science</v>
      </c>
    </row>
    <row r="523" spans="1:72" x14ac:dyDescent="0.15">
      <c r="A523" t="s">
        <v>72</v>
      </c>
      <c r="B523" t="s">
        <v>7233</v>
      </c>
      <c r="C523" t="s">
        <v>74</v>
      </c>
      <c r="D523" t="s">
        <v>74</v>
      </c>
      <c r="E523" t="s">
        <v>74</v>
      </c>
      <c r="F523" t="s">
        <v>7233</v>
      </c>
      <c r="G523" t="s">
        <v>74</v>
      </c>
      <c r="H523" t="s">
        <v>74</v>
      </c>
      <c r="I523" t="s">
        <v>7234</v>
      </c>
      <c r="J523" t="s">
        <v>5069</v>
      </c>
      <c r="K523" t="s">
        <v>74</v>
      </c>
      <c r="L523" t="s">
        <v>74</v>
      </c>
      <c r="M523" t="s">
        <v>77</v>
      </c>
      <c r="N523" t="s">
        <v>103</v>
      </c>
      <c r="O523" t="s">
        <v>74</v>
      </c>
      <c r="P523" t="s">
        <v>74</v>
      </c>
      <c r="Q523" t="s">
        <v>74</v>
      </c>
      <c r="R523" t="s">
        <v>74</v>
      </c>
      <c r="S523" t="s">
        <v>74</v>
      </c>
      <c r="T523" t="s">
        <v>7235</v>
      </c>
      <c r="U523" t="s">
        <v>74</v>
      </c>
      <c r="V523" t="s">
        <v>7236</v>
      </c>
      <c r="W523" t="s">
        <v>7237</v>
      </c>
      <c r="X523" t="s">
        <v>7238</v>
      </c>
      <c r="Y523" t="s">
        <v>7239</v>
      </c>
      <c r="Z523" t="s">
        <v>74</v>
      </c>
      <c r="AA523" t="s">
        <v>74</v>
      </c>
      <c r="AB523" t="s">
        <v>74</v>
      </c>
      <c r="AC523" t="s">
        <v>74</v>
      </c>
      <c r="AD523" t="s">
        <v>74</v>
      </c>
      <c r="AE523" t="s">
        <v>74</v>
      </c>
      <c r="AF523" t="s">
        <v>74</v>
      </c>
      <c r="AG523">
        <v>20</v>
      </c>
      <c r="AH523">
        <v>7</v>
      </c>
      <c r="AI523">
        <v>7</v>
      </c>
      <c r="AJ523">
        <v>0</v>
      </c>
      <c r="AK523">
        <v>2</v>
      </c>
      <c r="AL523" t="s">
        <v>445</v>
      </c>
      <c r="AM523" t="s">
        <v>229</v>
      </c>
      <c r="AN523" t="s">
        <v>446</v>
      </c>
      <c r="AO523" t="s">
        <v>5076</v>
      </c>
      <c r="AP523" t="s">
        <v>74</v>
      </c>
      <c r="AQ523" t="s">
        <v>74</v>
      </c>
      <c r="AR523" t="s">
        <v>5077</v>
      </c>
      <c r="AS523" t="s">
        <v>5078</v>
      </c>
      <c r="AT523" t="s">
        <v>7083</v>
      </c>
      <c r="AU523">
        <v>1998</v>
      </c>
      <c r="AV523">
        <v>32</v>
      </c>
      <c r="AW523">
        <v>17</v>
      </c>
      <c r="AX523" t="s">
        <v>74</v>
      </c>
      <c r="AY523" t="s">
        <v>74</v>
      </c>
      <c r="AZ523" t="s">
        <v>74</v>
      </c>
      <c r="BA523" t="s">
        <v>74</v>
      </c>
      <c r="BB523">
        <v>2899</v>
      </c>
      <c r="BC523">
        <v>2911</v>
      </c>
      <c r="BD523" t="s">
        <v>74</v>
      </c>
      <c r="BE523" t="s">
        <v>7240</v>
      </c>
      <c r="BF523" t="str">
        <f>HYPERLINK("http://dx.doi.org/10.1016/S1352-2310(98)00031-4","http://dx.doi.org/10.1016/S1352-2310(98)00031-4")</f>
        <v>http://dx.doi.org/10.1016/S1352-2310(98)00031-4</v>
      </c>
      <c r="BG523" t="s">
        <v>74</v>
      </c>
      <c r="BH523" t="s">
        <v>74</v>
      </c>
      <c r="BI523">
        <v>13</v>
      </c>
      <c r="BJ523" t="s">
        <v>1374</v>
      </c>
      <c r="BK523" t="s">
        <v>95</v>
      </c>
      <c r="BL523" t="s">
        <v>1375</v>
      </c>
      <c r="BM523" t="s">
        <v>7241</v>
      </c>
      <c r="BN523" t="s">
        <v>74</v>
      </c>
      <c r="BO523" t="s">
        <v>74</v>
      </c>
      <c r="BP523" t="s">
        <v>74</v>
      </c>
      <c r="BQ523" t="s">
        <v>74</v>
      </c>
      <c r="BR523" t="s">
        <v>98</v>
      </c>
      <c r="BS523" t="s">
        <v>7242</v>
      </c>
      <c r="BT523" t="str">
        <f>HYPERLINK("https%3A%2F%2Fwww.webofscience.com%2Fwos%2Fwoscc%2Ffull-record%2FWOS:000075270300003","View Full Record in Web of Science")</f>
        <v>View Full Record in Web of Science</v>
      </c>
    </row>
    <row r="524" spans="1:72" x14ac:dyDescent="0.15">
      <c r="A524" t="s">
        <v>72</v>
      </c>
      <c r="B524" t="s">
        <v>7243</v>
      </c>
      <c r="C524" t="s">
        <v>74</v>
      </c>
      <c r="D524" t="s">
        <v>74</v>
      </c>
      <c r="E524" t="s">
        <v>74</v>
      </c>
      <c r="F524" t="s">
        <v>7243</v>
      </c>
      <c r="G524" t="s">
        <v>74</v>
      </c>
      <c r="H524" t="s">
        <v>74</v>
      </c>
      <c r="I524" t="s">
        <v>7244</v>
      </c>
      <c r="J524" t="s">
        <v>7245</v>
      </c>
      <c r="K524" t="s">
        <v>74</v>
      </c>
      <c r="L524" t="s">
        <v>74</v>
      </c>
      <c r="M524" t="s">
        <v>77</v>
      </c>
      <c r="N524" t="s">
        <v>103</v>
      </c>
      <c r="O524" t="s">
        <v>74</v>
      </c>
      <c r="P524" t="s">
        <v>74</v>
      </c>
      <c r="Q524" t="s">
        <v>74</v>
      </c>
      <c r="R524" t="s">
        <v>74</v>
      </c>
      <c r="S524" t="s">
        <v>74</v>
      </c>
      <c r="T524" t="s">
        <v>7246</v>
      </c>
      <c r="U524" t="s">
        <v>7247</v>
      </c>
      <c r="V524" t="s">
        <v>7248</v>
      </c>
      <c r="W524" t="s">
        <v>7249</v>
      </c>
      <c r="X524" t="s">
        <v>74</v>
      </c>
      <c r="Y524" t="s">
        <v>7250</v>
      </c>
      <c r="Z524" t="s">
        <v>74</v>
      </c>
      <c r="AA524" t="s">
        <v>7251</v>
      </c>
      <c r="AB524" t="s">
        <v>74</v>
      </c>
      <c r="AC524" t="s">
        <v>74</v>
      </c>
      <c r="AD524" t="s">
        <v>74</v>
      </c>
      <c r="AE524" t="s">
        <v>74</v>
      </c>
      <c r="AF524" t="s">
        <v>74</v>
      </c>
      <c r="AG524">
        <v>21</v>
      </c>
      <c r="AH524">
        <v>12</v>
      </c>
      <c r="AI524">
        <v>16</v>
      </c>
      <c r="AJ524">
        <v>0</v>
      </c>
      <c r="AK524">
        <v>10</v>
      </c>
      <c r="AL524" t="s">
        <v>6269</v>
      </c>
      <c r="AM524" t="s">
        <v>278</v>
      </c>
      <c r="AN524" t="s">
        <v>6270</v>
      </c>
      <c r="AO524" t="s">
        <v>7252</v>
      </c>
      <c r="AP524" t="s">
        <v>74</v>
      </c>
      <c r="AQ524" t="s">
        <v>74</v>
      </c>
      <c r="AR524" t="s">
        <v>7253</v>
      </c>
      <c r="AS524" t="s">
        <v>7254</v>
      </c>
      <c r="AT524" t="s">
        <v>7083</v>
      </c>
      <c r="AU524">
        <v>1998</v>
      </c>
      <c r="AV524">
        <v>49</v>
      </c>
      <c r="AW524">
        <v>2</v>
      </c>
      <c r="AX524" t="s">
        <v>74</v>
      </c>
      <c r="AY524" t="s">
        <v>74</v>
      </c>
      <c r="AZ524" t="s">
        <v>74</v>
      </c>
      <c r="BA524" t="s">
        <v>74</v>
      </c>
      <c r="BB524">
        <v>163</v>
      </c>
      <c r="BC524">
        <v>176</v>
      </c>
      <c r="BD524" t="s">
        <v>74</v>
      </c>
      <c r="BE524" t="s">
        <v>7255</v>
      </c>
      <c r="BF524" t="str">
        <f>HYPERLINK("http://dx.doi.org/10.1016/S0169-8095(98)00071-4","http://dx.doi.org/10.1016/S0169-8095(98)00071-4")</f>
        <v>http://dx.doi.org/10.1016/S0169-8095(98)00071-4</v>
      </c>
      <c r="BG524" t="s">
        <v>74</v>
      </c>
      <c r="BH524" t="s">
        <v>74</v>
      </c>
      <c r="BI524">
        <v>14</v>
      </c>
      <c r="BJ524" t="s">
        <v>1418</v>
      </c>
      <c r="BK524" t="s">
        <v>95</v>
      </c>
      <c r="BL524" t="s">
        <v>1418</v>
      </c>
      <c r="BM524" t="s">
        <v>7256</v>
      </c>
      <c r="BN524" t="s">
        <v>74</v>
      </c>
      <c r="BO524" t="s">
        <v>74</v>
      </c>
      <c r="BP524" t="s">
        <v>74</v>
      </c>
      <c r="BQ524" t="s">
        <v>74</v>
      </c>
      <c r="BR524" t="s">
        <v>98</v>
      </c>
      <c r="BS524" t="s">
        <v>7257</v>
      </c>
      <c r="BT524" t="str">
        <f>HYPERLINK("https%3A%2F%2Fwww.webofscience.com%2Fwos%2Fwoscc%2Ffull-record%2FWOS:000075720800004","View Full Record in Web of Science")</f>
        <v>View Full Record in Web of Science</v>
      </c>
    </row>
    <row r="525" spans="1:72" x14ac:dyDescent="0.15">
      <c r="A525" t="s">
        <v>72</v>
      </c>
      <c r="B525" t="s">
        <v>7258</v>
      </c>
      <c r="C525" t="s">
        <v>74</v>
      </c>
      <c r="D525" t="s">
        <v>74</v>
      </c>
      <c r="E525" t="s">
        <v>74</v>
      </c>
      <c r="F525" t="s">
        <v>7258</v>
      </c>
      <c r="G525" t="s">
        <v>74</v>
      </c>
      <c r="H525" t="s">
        <v>74</v>
      </c>
      <c r="I525" t="s">
        <v>7259</v>
      </c>
      <c r="J525" t="s">
        <v>7260</v>
      </c>
      <c r="K525" t="s">
        <v>74</v>
      </c>
      <c r="L525" t="s">
        <v>74</v>
      </c>
      <c r="M525" t="s">
        <v>77</v>
      </c>
      <c r="N525" t="s">
        <v>103</v>
      </c>
      <c r="O525" t="s">
        <v>74</v>
      </c>
      <c r="P525" t="s">
        <v>74</v>
      </c>
      <c r="Q525" t="s">
        <v>74</v>
      </c>
      <c r="R525" t="s">
        <v>74</v>
      </c>
      <c r="S525" t="s">
        <v>74</v>
      </c>
      <c r="T525" t="s">
        <v>7261</v>
      </c>
      <c r="U525" t="s">
        <v>7262</v>
      </c>
      <c r="V525" t="s">
        <v>7263</v>
      </c>
      <c r="W525" t="s">
        <v>7264</v>
      </c>
      <c r="X525" t="s">
        <v>7265</v>
      </c>
      <c r="Y525" t="s">
        <v>7266</v>
      </c>
      <c r="Z525" t="s">
        <v>7267</v>
      </c>
      <c r="AA525" t="s">
        <v>6152</v>
      </c>
      <c r="AB525" t="s">
        <v>7268</v>
      </c>
      <c r="AC525" t="s">
        <v>74</v>
      </c>
      <c r="AD525" t="s">
        <v>74</v>
      </c>
      <c r="AE525" t="s">
        <v>74</v>
      </c>
      <c r="AF525" t="s">
        <v>74</v>
      </c>
      <c r="AG525">
        <v>40</v>
      </c>
      <c r="AH525">
        <v>70</v>
      </c>
      <c r="AI525">
        <v>82</v>
      </c>
      <c r="AJ525">
        <v>0</v>
      </c>
      <c r="AK525">
        <v>44</v>
      </c>
      <c r="AL525" t="s">
        <v>729</v>
      </c>
      <c r="AM525" t="s">
        <v>229</v>
      </c>
      <c r="AN525" t="s">
        <v>730</v>
      </c>
      <c r="AO525" t="s">
        <v>7269</v>
      </c>
      <c r="AP525" t="s">
        <v>7270</v>
      </c>
      <c r="AQ525" t="s">
        <v>74</v>
      </c>
      <c r="AR525" t="s">
        <v>7271</v>
      </c>
      <c r="AS525" t="s">
        <v>7272</v>
      </c>
      <c r="AT525" t="s">
        <v>7083</v>
      </c>
      <c r="AU525">
        <v>1998</v>
      </c>
      <c r="AV525">
        <v>85</v>
      </c>
      <c r="AW525">
        <v>3</v>
      </c>
      <c r="AX525" t="s">
        <v>74</v>
      </c>
      <c r="AY525" t="s">
        <v>74</v>
      </c>
      <c r="AZ525" t="s">
        <v>74</v>
      </c>
      <c r="BA525" t="s">
        <v>74</v>
      </c>
      <c r="BB525">
        <v>223</v>
      </c>
      <c r="BC525">
        <v>231</v>
      </c>
      <c r="BD525" t="s">
        <v>74</v>
      </c>
      <c r="BE525" t="s">
        <v>7273</v>
      </c>
      <c r="BF525" t="str">
        <f>HYPERLINK("http://dx.doi.org/10.1016/S0006-3207(97)00178-X","http://dx.doi.org/10.1016/S0006-3207(97)00178-X")</f>
        <v>http://dx.doi.org/10.1016/S0006-3207(97)00178-X</v>
      </c>
      <c r="BG525" t="s">
        <v>74</v>
      </c>
      <c r="BH525" t="s">
        <v>74</v>
      </c>
      <c r="BI525">
        <v>9</v>
      </c>
      <c r="BJ525" t="s">
        <v>7274</v>
      </c>
      <c r="BK525" t="s">
        <v>95</v>
      </c>
      <c r="BL525" t="s">
        <v>2616</v>
      </c>
      <c r="BM525" t="s">
        <v>7275</v>
      </c>
      <c r="BN525" t="s">
        <v>74</v>
      </c>
      <c r="BO525" t="s">
        <v>74</v>
      </c>
      <c r="BP525" t="s">
        <v>74</v>
      </c>
      <c r="BQ525" t="s">
        <v>74</v>
      </c>
      <c r="BR525" t="s">
        <v>98</v>
      </c>
      <c r="BS525" t="s">
        <v>7276</v>
      </c>
      <c r="BT525" t="str">
        <f>HYPERLINK("https%3A%2F%2Fwww.webofscience.com%2Fwos%2Fwoscc%2Ffull-record%2FWOS:000075407400002","View Full Record in Web of Science")</f>
        <v>View Full Record in Web of Science</v>
      </c>
    </row>
    <row r="526" spans="1:72" x14ac:dyDescent="0.15">
      <c r="A526" t="s">
        <v>72</v>
      </c>
      <c r="B526" t="s">
        <v>7277</v>
      </c>
      <c r="C526" t="s">
        <v>74</v>
      </c>
      <c r="D526" t="s">
        <v>74</v>
      </c>
      <c r="E526" t="s">
        <v>74</v>
      </c>
      <c r="F526" t="s">
        <v>7277</v>
      </c>
      <c r="G526" t="s">
        <v>74</v>
      </c>
      <c r="H526" t="s">
        <v>74</v>
      </c>
      <c r="I526" t="s">
        <v>7278</v>
      </c>
      <c r="J526" t="s">
        <v>7279</v>
      </c>
      <c r="K526" t="s">
        <v>74</v>
      </c>
      <c r="L526" t="s">
        <v>74</v>
      </c>
      <c r="M526" t="s">
        <v>77</v>
      </c>
      <c r="N526" t="s">
        <v>103</v>
      </c>
      <c r="O526" t="s">
        <v>74</v>
      </c>
      <c r="P526" t="s">
        <v>74</v>
      </c>
      <c r="Q526" t="s">
        <v>74</v>
      </c>
      <c r="R526" t="s">
        <v>74</v>
      </c>
      <c r="S526" t="s">
        <v>74</v>
      </c>
      <c r="T526" t="s">
        <v>74</v>
      </c>
      <c r="U526" t="s">
        <v>7280</v>
      </c>
      <c r="V526" t="s">
        <v>7281</v>
      </c>
      <c r="W526" t="s">
        <v>7282</v>
      </c>
      <c r="X526" t="s">
        <v>7283</v>
      </c>
      <c r="Y526" t="s">
        <v>7284</v>
      </c>
      <c r="Z526" t="s">
        <v>7285</v>
      </c>
      <c r="AA526" t="s">
        <v>74</v>
      </c>
      <c r="AB526" t="s">
        <v>74</v>
      </c>
      <c r="AC526" t="s">
        <v>74</v>
      </c>
      <c r="AD526" t="s">
        <v>74</v>
      </c>
      <c r="AE526" t="s">
        <v>74</v>
      </c>
      <c r="AF526" t="s">
        <v>74</v>
      </c>
      <c r="AG526">
        <v>33</v>
      </c>
      <c r="AH526">
        <v>18</v>
      </c>
      <c r="AI526">
        <v>27</v>
      </c>
      <c r="AJ526">
        <v>0</v>
      </c>
      <c r="AK526">
        <v>2</v>
      </c>
      <c r="AL526" t="s">
        <v>7286</v>
      </c>
      <c r="AM526" t="s">
        <v>7287</v>
      </c>
      <c r="AN526" t="s">
        <v>7288</v>
      </c>
      <c r="AO526" t="s">
        <v>7289</v>
      </c>
      <c r="AP526" t="s">
        <v>74</v>
      </c>
      <c r="AQ526" t="s">
        <v>74</v>
      </c>
      <c r="AR526" t="s">
        <v>7279</v>
      </c>
      <c r="AS526" t="s">
        <v>7290</v>
      </c>
      <c r="AT526" t="s">
        <v>7095</v>
      </c>
      <c r="AU526">
        <v>1998</v>
      </c>
      <c r="AV526">
        <v>101</v>
      </c>
      <c r="AW526">
        <v>3</v>
      </c>
      <c r="AX526" t="s">
        <v>74</v>
      </c>
      <c r="AY526" t="s">
        <v>74</v>
      </c>
      <c r="AZ526" t="s">
        <v>74</v>
      </c>
      <c r="BA526" t="s">
        <v>74</v>
      </c>
      <c r="BB526">
        <v>412</v>
      </c>
      <c r="BC526">
        <v>421</v>
      </c>
      <c r="BD526" t="s">
        <v>74</v>
      </c>
      <c r="BE526" t="s">
        <v>74</v>
      </c>
      <c r="BF526" t="s">
        <v>74</v>
      </c>
      <c r="BG526" t="s">
        <v>74</v>
      </c>
      <c r="BH526" t="s">
        <v>74</v>
      </c>
      <c r="BI526">
        <v>10</v>
      </c>
      <c r="BJ526" t="s">
        <v>382</v>
      </c>
      <c r="BK526" t="s">
        <v>95</v>
      </c>
      <c r="BL526" t="s">
        <v>382</v>
      </c>
      <c r="BM526" t="s">
        <v>7291</v>
      </c>
      <c r="BN526" t="s">
        <v>74</v>
      </c>
      <c r="BO526" t="s">
        <v>74</v>
      </c>
      <c r="BP526" t="s">
        <v>74</v>
      </c>
      <c r="BQ526" t="s">
        <v>74</v>
      </c>
      <c r="BR526" t="s">
        <v>98</v>
      </c>
      <c r="BS526" t="s">
        <v>7292</v>
      </c>
      <c r="BT526" t="str">
        <f>HYPERLINK("https%3A%2F%2Fwww.webofscience.com%2Fwos%2Fwoscc%2Ffull-record%2FWOS:000076143800007","View Full Record in Web of Science")</f>
        <v>View Full Record in Web of Science</v>
      </c>
    </row>
    <row r="527" spans="1:72" x14ac:dyDescent="0.15">
      <c r="A527" t="s">
        <v>72</v>
      </c>
      <c r="B527" t="s">
        <v>7293</v>
      </c>
      <c r="C527" t="s">
        <v>74</v>
      </c>
      <c r="D527" t="s">
        <v>74</v>
      </c>
      <c r="E527" t="s">
        <v>74</v>
      </c>
      <c r="F527" t="s">
        <v>7293</v>
      </c>
      <c r="G527" t="s">
        <v>74</v>
      </c>
      <c r="H527" t="s">
        <v>74</v>
      </c>
      <c r="I527" t="s">
        <v>7294</v>
      </c>
      <c r="J527" t="s">
        <v>7295</v>
      </c>
      <c r="K527" t="s">
        <v>74</v>
      </c>
      <c r="L527" t="s">
        <v>74</v>
      </c>
      <c r="M527" t="s">
        <v>77</v>
      </c>
      <c r="N527" t="s">
        <v>103</v>
      </c>
      <c r="O527" t="s">
        <v>74</v>
      </c>
      <c r="P527" t="s">
        <v>74</v>
      </c>
      <c r="Q527" t="s">
        <v>74</v>
      </c>
      <c r="R527" t="s">
        <v>74</v>
      </c>
      <c r="S527" t="s">
        <v>74</v>
      </c>
      <c r="T527" t="s">
        <v>7296</v>
      </c>
      <c r="U527" t="s">
        <v>7297</v>
      </c>
      <c r="V527" t="s">
        <v>7298</v>
      </c>
      <c r="W527" t="s">
        <v>7299</v>
      </c>
      <c r="X527" t="s">
        <v>1485</v>
      </c>
      <c r="Y527" t="s">
        <v>74</v>
      </c>
      <c r="Z527" t="s">
        <v>7300</v>
      </c>
      <c r="AA527" t="s">
        <v>7301</v>
      </c>
      <c r="AB527" t="s">
        <v>7302</v>
      </c>
      <c r="AC527" t="s">
        <v>74</v>
      </c>
      <c r="AD527" t="s">
        <v>74</v>
      </c>
      <c r="AE527" t="s">
        <v>74</v>
      </c>
      <c r="AF527" t="s">
        <v>74</v>
      </c>
      <c r="AG527">
        <v>21</v>
      </c>
      <c r="AH527">
        <v>4</v>
      </c>
      <c r="AI527">
        <v>4</v>
      </c>
      <c r="AJ527">
        <v>0</v>
      </c>
      <c r="AK527">
        <v>4</v>
      </c>
      <c r="AL527" t="s">
        <v>655</v>
      </c>
      <c r="AM527" t="s">
        <v>656</v>
      </c>
      <c r="AN527" t="s">
        <v>657</v>
      </c>
      <c r="AO527" t="s">
        <v>7303</v>
      </c>
      <c r="AP527" t="s">
        <v>7304</v>
      </c>
      <c r="AQ527" t="s">
        <v>74</v>
      </c>
      <c r="AR527" t="s">
        <v>7305</v>
      </c>
      <c r="AS527" t="s">
        <v>7306</v>
      </c>
      <c r="AT527" t="s">
        <v>7083</v>
      </c>
      <c r="AU527">
        <v>1998</v>
      </c>
      <c r="AV527">
        <v>26</v>
      </c>
      <c r="AW527">
        <v>3</v>
      </c>
      <c r="AX527" t="s">
        <v>74</v>
      </c>
      <c r="AY527" t="s">
        <v>74</v>
      </c>
      <c r="AZ527" t="s">
        <v>74</v>
      </c>
      <c r="BA527" t="s">
        <v>74</v>
      </c>
      <c r="BB527">
        <v>405</v>
      </c>
      <c r="BC527">
        <v>418</v>
      </c>
      <c r="BD527" t="s">
        <v>74</v>
      </c>
      <c r="BE527" t="s">
        <v>7307</v>
      </c>
      <c r="BF527" t="str">
        <f>HYPERLINK("http://dx.doi.org/10.2307/3315765","http://dx.doi.org/10.2307/3315765")</f>
        <v>http://dx.doi.org/10.2307/3315765</v>
      </c>
      <c r="BG527" t="s">
        <v>74</v>
      </c>
      <c r="BH527" t="s">
        <v>74</v>
      </c>
      <c r="BI527">
        <v>14</v>
      </c>
      <c r="BJ527" t="s">
        <v>7308</v>
      </c>
      <c r="BK527" t="s">
        <v>95</v>
      </c>
      <c r="BL527" t="s">
        <v>4367</v>
      </c>
      <c r="BM527" t="s">
        <v>7309</v>
      </c>
      <c r="BN527" t="s">
        <v>74</v>
      </c>
      <c r="BO527" t="s">
        <v>74</v>
      </c>
      <c r="BP527" t="s">
        <v>74</v>
      </c>
      <c r="BQ527" t="s">
        <v>74</v>
      </c>
      <c r="BR527" t="s">
        <v>98</v>
      </c>
      <c r="BS527" t="s">
        <v>7310</v>
      </c>
      <c r="BT527" t="str">
        <f>HYPERLINK("https%3A%2F%2Fwww.webofscience.com%2Fwos%2Fwoscc%2Ffull-record%2FWOS:000076229400004","View Full Record in Web of Science")</f>
        <v>View Full Record in Web of Science</v>
      </c>
    </row>
    <row r="528" spans="1:72" x14ac:dyDescent="0.15">
      <c r="A528" t="s">
        <v>72</v>
      </c>
      <c r="B528" t="s">
        <v>7311</v>
      </c>
      <c r="C528" t="s">
        <v>74</v>
      </c>
      <c r="D528" t="s">
        <v>74</v>
      </c>
      <c r="E528" t="s">
        <v>74</v>
      </c>
      <c r="F528" t="s">
        <v>7312</v>
      </c>
      <c r="G528" t="s">
        <v>74</v>
      </c>
      <c r="H528" t="s">
        <v>74</v>
      </c>
      <c r="I528" t="s">
        <v>7313</v>
      </c>
      <c r="J528" t="s">
        <v>7314</v>
      </c>
      <c r="K528" t="s">
        <v>74</v>
      </c>
      <c r="L528" t="s">
        <v>74</v>
      </c>
      <c r="M528" t="s">
        <v>77</v>
      </c>
      <c r="N528" t="s">
        <v>103</v>
      </c>
      <c r="O528" t="s">
        <v>74</v>
      </c>
      <c r="P528" t="s">
        <v>74</v>
      </c>
      <c r="Q528" t="s">
        <v>74</v>
      </c>
      <c r="R528" t="s">
        <v>74</v>
      </c>
      <c r="S528" t="s">
        <v>74</v>
      </c>
      <c r="T528" t="s">
        <v>7315</v>
      </c>
      <c r="U528" t="s">
        <v>7316</v>
      </c>
      <c r="V528" t="s">
        <v>7317</v>
      </c>
      <c r="W528" t="s">
        <v>7318</v>
      </c>
      <c r="X528" t="s">
        <v>7319</v>
      </c>
      <c r="Y528" t="s">
        <v>7320</v>
      </c>
      <c r="Z528" t="s">
        <v>74</v>
      </c>
      <c r="AA528" t="s">
        <v>74</v>
      </c>
      <c r="AB528" t="s">
        <v>7103</v>
      </c>
      <c r="AC528" t="s">
        <v>7321</v>
      </c>
      <c r="AD528" t="s">
        <v>7322</v>
      </c>
      <c r="AE528" t="s">
        <v>7323</v>
      </c>
      <c r="AF528" t="s">
        <v>74</v>
      </c>
      <c r="AG528">
        <v>52</v>
      </c>
      <c r="AH528">
        <v>15</v>
      </c>
      <c r="AI528">
        <v>16</v>
      </c>
      <c r="AJ528">
        <v>0</v>
      </c>
      <c r="AK528">
        <v>14</v>
      </c>
      <c r="AL528" t="s">
        <v>805</v>
      </c>
      <c r="AM528" t="s">
        <v>278</v>
      </c>
      <c r="AN528" t="s">
        <v>7324</v>
      </c>
      <c r="AO528" t="s">
        <v>7325</v>
      </c>
      <c r="AP528" t="s">
        <v>7326</v>
      </c>
      <c r="AQ528" t="s">
        <v>74</v>
      </c>
      <c r="AR528" t="s">
        <v>7327</v>
      </c>
      <c r="AS528" t="s">
        <v>7328</v>
      </c>
      <c r="AT528" t="s">
        <v>7083</v>
      </c>
      <c r="AU528">
        <v>1998</v>
      </c>
      <c r="AV528">
        <v>13</v>
      </c>
      <c r="AW528">
        <v>2</v>
      </c>
      <c r="AX528" t="s">
        <v>74</v>
      </c>
      <c r="AY528" t="s">
        <v>74</v>
      </c>
      <c r="AZ528" t="s">
        <v>74</v>
      </c>
      <c r="BA528" t="s">
        <v>74</v>
      </c>
      <c r="BB528">
        <v>174</v>
      </c>
      <c r="BC528">
        <v>188</v>
      </c>
      <c r="BD528" t="s">
        <v>74</v>
      </c>
      <c r="BE528" t="s">
        <v>7329</v>
      </c>
      <c r="BF528" t="str">
        <f>HYPERLINK("http://dx.doi.org/10.1007/BF03176591","http://dx.doi.org/10.1007/BF03176591")</f>
        <v>http://dx.doi.org/10.1007/BF03176591</v>
      </c>
      <c r="BG528" t="s">
        <v>74</v>
      </c>
      <c r="BH528" t="s">
        <v>74</v>
      </c>
      <c r="BI528">
        <v>15</v>
      </c>
      <c r="BJ528" t="s">
        <v>193</v>
      </c>
      <c r="BK528" t="s">
        <v>95</v>
      </c>
      <c r="BL528" t="s">
        <v>193</v>
      </c>
      <c r="BM528" t="s">
        <v>7330</v>
      </c>
      <c r="BN528" t="s">
        <v>74</v>
      </c>
      <c r="BO528" t="s">
        <v>74</v>
      </c>
      <c r="BP528" t="s">
        <v>74</v>
      </c>
      <c r="BQ528" t="s">
        <v>74</v>
      </c>
      <c r="BR528" t="s">
        <v>98</v>
      </c>
      <c r="BS528" t="s">
        <v>7331</v>
      </c>
      <c r="BT528" t="str">
        <f>HYPERLINK("https%3A%2F%2Fwww.webofscience.com%2Fwos%2Fwoscc%2Ffull-record%2FWOS:000513002100007","View Full Record in Web of Science")</f>
        <v>View Full Record in Web of Science</v>
      </c>
    </row>
    <row r="529" spans="1:72" x14ac:dyDescent="0.15">
      <c r="A529" t="s">
        <v>72</v>
      </c>
      <c r="B529" t="s">
        <v>7332</v>
      </c>
      <c r="C529" t="s">
        <v>74</v>
      </c>
      <c r="D529" t="s">
        <v>74</v>
      </c>
      <c r="E529" t="s">
        <v>74</v>
      </c>
      <c r="F529" t="s">
        <v>7332</v>
      </c>
      <c r="G529" t="s">
        <v>74</v>
      </c>
      <c r="H529" t="s">
        <v>74</v>
      </c>
      <c r="I529" t="s">
        <v>7333</v>
      </c>
      <c r="J529" t="s">
        <v>6241</v>
      </c>
      <c r="K529" t="s">
        <v>74</v>
      </c>
      <c r="L529" t="s">
        <v>74</v>
      </c>
      <c r="M529" t="s">
        <v>77</v>
      </c>
      <c r="N529" t="s">
        <v>103</v>
      </c>
      <c r="O529" t="s">
        <v>74</v>
      </c>
      <c r="P529" t="s">
        <v>74</v>
      </c>
      <c r="Q529" t="s">
        <v>74</v>
      </c>
      <c r="R529" t="s">
        <v>74</v>
      </c>
      <c r="S529" t="s">
        <v>74</v>
      </c>
      <c r="T529" t="s">
        <v>7334</v>
      </c>
      <c r="U529" t="s">
        <v>7335</v>
      </c>
      <c r="V529" t="s">
        <v>7336</v>
      </c>
      <c r="W529" t="s">
        <v>7337</v>
      </c>
      <c r="X529" t="s">
        <v>7338</v>
      </c>
      <c r="Y529" t="s">
        <v>7339</v>
      </c>
      <c r="Z529" t="s">
        <v>74</v>
      </c>
      <c r="AA529" t="s">
        <v>74</v>
      </c>
      <c r="AB529" t="s">
        <v>74</v>
      </c>
      <c r="AC529" t="s">
        <v>74</v>
      </c>
      <c r="AD529" t="s">
        <v>74</v>
      </c>
      <c r="AE529" t="s">
        <v>74</v>
      </c>
      <c r="AF529" t="s">
        <v>74</v>
      </c>
      <c r="AG529">
        <v>79</v>
      </c>
      <c r="AH529">
        <v>19</v>
      </c>
      <c r="AI529">
        <v>20</v>
      </c>
      <c r="AJ529">
        <v>1</v>
      </c>
      <c r="AK529">
        <v>19</v>
      </c>
      <c r="AL529" t="s">
        <v>445</v>
      </c>
      <c r="AM529" t="s">
        <v>229</v>
      </c>
      <c r="AN529" t="s">
        <v>446</v>
      </c>
      <c r="AO529" t="s">
        <v>6250</v>
      </c>
      <c r="AP529" t="s">
        <v>74</v>
      </c>
      <c r="AQ529" t="s">
        <v>74</v>
      </c>
      <c r="AR529" t="s">
        <v>6241</v>
      </c>
      <c r="AS529" t="s">
        <v>6251</v>
      </c>
      <c r="AT529" t="s">
        <v>7083</v>
      </c>
      <c r="AU529">
        <v>1998</v>
      </c>
      <c r="AV529">
        <v>37</v>
      </c>
      <c r="AW529">
        <v>6</v>
      </c>
      <c r="AX529" t="s">
        <v>74</v>
      </c>
      <c r="AY529" t="s">
        <v>74</v>
      </c>
      <c r="AZ529" t="s">
        <v>74</v>
      </c>
      <c r="BA529" t="s">
        <v>74</v>
      </c>
      <c r="BB529">
        <v>1017</v>
      </c>
      <c r="BC529">
        <v>1032</v>
      </c>
      <c r="BD529" t="s">
        <v>74</v>
      </c>
      <c r="BE529" t="s">
        <v>7340</v>
      </c>
      <c r="BF529" t="str">
        <f>HYPERLINK("http://dx.doi.org/10.1016/S0045-6535(98)00100-3","http://dx.doi.org/10.1016/S0045-6535(98)00100-3")</f>
        <v>http://dx.doi.org/10.1016/S0045-6535(98)00100-3</v>
      </c>
      <c r="BG529" t="s">
        <v>74</v>
      </c>
      <c r="BH529" t="s">
        <v>74</v>
      </c>
      <c r="BI529">
        <v>16</v>
      </c>
      <c r="BJ529" t="s">
        <v>6255</v>
      </c>
      <c r="BK529" t="s">
        <v>95</v>
      </c>
      <c r="BL529" t="s">
        <v>661</v>
      </c>
      <c r="BM529" t="s">
        <v>7341</v>
      </c>
      <c r="BN529" t="s">
        <v>74</v>
      </c>
      <c r="BO529" t="s">
        <v>74</v>
      </c>
      <c r="BP529" t="s">
        <v>74</v>
      </c>
      <c r="BQ529" t="s">
        <v>74</v>
      </c>
      <c r="BR529" t="s">
        <v>98</v>
      </c>
      <c r="BS529" t="s">
        <v>7342</v>
      </c>
      <c r="BT529" t="str">
        <f>HYPERLINK("https%3A%2F%2Fwww.webofscience.com%2Fwos%2Fwoscc%2Ffull-record%2FWOS:000075290100001","View Full Record in Web of Science")</f>
        <v>View Full Record in Web of Science</v>
      </c>
    </row>
    <row r="530" spans="1:72" x14ac:dyDescent="0.15">
      <c r="A530" t="s">
        <v>72</v>
      </c>
      <c r="B530" t="s">
        <v>7343</v>
      </c>
      <c r="C530" t="s">
        <v>74</v>
      </c>
      <c r="D530" t="s">
        <v>74</v>
      </c>
      <c r="E530" t="s">
        <v>74</v>
      </c>
      <c r="F530" t="s">
        <v>7343</v>
      </c>
      <c r="G530" t="s">
        <v>74</v>
      </c>
      <c r="H530" t="s">
        <v>74</v>
      </c>
      <c r="I530" t="s">
        <v>7344</v>
      </c>
      <c r="J530" t="s">
        <v>7345</v>
      </c>
      <c r="K530" t="s">
        <v>74</v>
      </c>
      <c r="L530" t="s">
        <v>74</v>
      </c>
      <c r="M530" t="s">
        <v>77</v>
      </c>
      <c r="N530" t="s">
        <v>103</v>
      </c>
      <c r="O530" t="s">
        <v>74</v>
      </c>
      <c r="P530" t="s">
        <v>74</v>
      </c>
      <c r="Q530" t="s">
        <v>74</v>
      </c>
      <c r="R530" t="s">
        <v>74</v>
      </c>
      <c r="S530" t="s">
        <v>74</v>
      </c>
      <c r="T530" t="s">
        <v>74</v>
      </c>
      <c r="U530" t="s">
        <v>7346</v>
      </c>
      <c r="V530" t="s">
        <v>7347</v>
      </c>
      <c r="W530" t="s">
        <v>7348</v>
      </c>
      <c r="X530" t="s">
        <v>1142</v>
      </c>
      <c r="Y530" t="s">
        <v>7349</v>
      </c>
      <c r="Z530" t="s">
        <v>74</v>
      </c>
      <c r="AA530" t="s">
        <v>74</v>
      </c>
      <c r="AB530" t="s">
        <v>74</v>
      </c>
      <c r="AC530" t="s">
        <v>74</v>
      </c>
      <c r="AD530" t="s">
        <v>74</v>
      </c>
      <c r="AE530" t="s">
        <v>74</v>
      </c>
      <c r="AF530" t="s">
        <v>74</v>
      </c>
      <c r="AG530">
        <v>35</v>
      </c>
      <c r="AH530">
        <v>10</v>
      </c>
      <c r="AI530">
        <v>10</v>
      </c>
      <c r="AJ530">
        <v>0</v>
      </c>
      <c r="AK530">
        <v>2</v>
      </c>
      <c r="AL530" t="s">
        <v>887</v>
      </c>
      <c r="AM530" t="s">
        <v>278</v>
      </c>
      <c r="AN530" t="s">
        <v>888</v>
      </c>
      <c r="AO530" t="s">
        <v>7350</v>
      </c>
      <c r="AP530" t="s">
        <v>74</v>
      </c>
      <c r="AQ530" t="s">
        <v>74</v>
      </c>
      <c r="AR530" t="s">
        <v>7351</v>
      </c>
      <c r="AS530" t="s">
        <v>7352</v>
      </c>
      <c r="AT530" t="s">
        <v>7083</v>
      </c>
      <c r="AU530">
        <v>1998</v>
      </c>
      <c r="AV530">
        <v>14</v>
      </c>
      <c r="AW530">
        <v>10</v>
      </c>
      <c r="AX530" t="s">
        <v>74</v>
      </c>
      <c r="AY530" t="s">
        <v>74</v>
      </c>
      <c r="AZ530" t="s">
        <v>74</v>
      </c>
      <c r="BA530" t="s">
        <v>74</v>
      </c>
      <c r="BB530">
        <v>725</v>
      </c>
      <c r="BC530">
        <v>740</v>
      </c>
      <c r="BD530" t="s">
        <v>74</v>
      </c>
      <c r="BE530" t="s">
        <v>7353</v>
      </c>
      <c r="BF530" t="str">
        <f>HYPERLINK("http://dx.doi.org/10.1007/s003820050251","http://dx.doi.org/10.1007/s003820050251")</f>
        <v>http://dx.doi.org/10.1007/s003820050251</v>
      </c>
      <c r="BG530" t="s">
        <v>74</v>
      </c>
      <c r="BH530" t="s">
        <v>74</v>
      </c>
      <c r="BI530">
        <v>16</v>
      </c>
      <c r="BJ530" t="s">
        <v>1418</v>
      </c>
      <c r="BK530" t="s">
        <v>95</v>
      </c>
      <c r="BL530" t="s">
        <v>1418</v>
      </c>
      <c r="BM530" t="s">
        <v>7354</v>
      </c>
      <c r="BN530" t="s">
        <v>74</v>
      </c>
      <c r="BO530" t="s">
        <v>483</v>
      </c>
      <c r="BP530" t="s">
        <v>74</v>
      </c>
      <c r="BQ530" t="s">
        <v>74</v>
      </c>
      <c r="BR530" t="s">
        <v>98</v>
      </c>
      <c r="BS530" t="s">
        <v>7355</v>
      </c>
      <c r="BT530" t="str">
        <f>HYPERLINK("https%3A%2F%2Fwww.webofscience.com%2Fwos%2Fwoscc%2Ffull-record%2FWOS:000075858300003","View Full Record in Web of Science")</f>
        <v>View Full Record in Web of Science</v>
      </c>
    </row>
    <row r="531" spans="1:72" x14ac:dyDescent="0.15">
      <c r="A531" t="s">
        <v>72</v>
      </c>
      <c r="B531" t="s">
        <v>7356</v>
      </c>
      <c r="C531" t="s">
        <v>74</v>
      </c>
      <c r="D531" t="s">
        <v>74</v>
      </c>
      <c r="E531" t="s">
        <v>74</v>
      </c>
      <c r="F531" t="s">
        <v>7356</v>
      </c>
      <c r="G531" t="s">
        <v>74</v>
      </c>
      <c r="H531" t="s">
        <v>74</v>
      </c>
      <c r="I531" t="s">
        <v>7357</v>
      </c>
      <c r="J531" t="s">
        <v>7358</v>
      </c>
      <c r="K531" t="s">
        <v>74</v>
      </c>
      <c r="L531" t="s">
        <v>74</v>
      </c>
      <c r="M531" t="s">
        <v>77</v>
      </c>
      <c r="N531" t="s">
        <v>103</v>
      </c>
      <c r="O531" t="s">
        <v>74</v>
      </c>
      <c r="P531" t="s">
        <v>74</v>
      </c>
      <c r="Q531" t="s">
        <v>74</v>
      </c>
      <c r="R531" t="s">
        <v>74</v>
      </c>
      <c r="S531" t="s">
        <v>74</v>
      </c>
      <c r="T531" t="s">
        <v>7359</v>
      </c>
      <c r="U531" t="s">
        <v>7360</v>
      </c>
      <c r="V531" t="s">
        <v>7361</v>
      </c>
      <c r="W531" t="s">
        <v>7362</v>
      </c>
      <c r="X531" t="s">
        <v>4271</v>
      </c>
      <c r="Y531" t="s">
        <v>7363</v>
      </c>
      <c r="Z531" t="s">
        <v>7364</v>
      </c>
      <c r="AA531" t="s">
        <v>7365</v>
      </c>
      <c r="AB531" t="s">
        <v>7366</v>
      </c>
      <c r="AC531" t="s">
        <v>74</v>
      </c>
      <c r="AD531" t="s">
        <v>74</v>
      </c>
      <c r="AE531" t="s">
        <v>74</v>
      </c>
      <c r="AF531" t="s">
        <v>74</v>
      </c>
      <c r="AG531">
        <v>30</v>
      </c>
      <c r="AH531">
        <v>16</v>
      </c>
      <c r="AI531">
        <v>16</v>
      </c>
      <c r="AJ531">
        <v>2</v>
      </c>
      <c r="AK531">
        <v>24</v>
      </c>
      <c r="AL531" t="s">
        <v>655</v>
      </c>
      <c r="AM531" t="s">
        <v>656</v>
      </c>
      <c r="AN531" t="s">
        <v>657</v>
      </c>
      <c r="AO531" t="s">
        <v>7367</v>
      </c>
      <c r="AP531" t="s">
        <v>7368</v>
      </c>
      <c r="AQ531" t="s">
        <v>74</v>
      </c>
      <c r="AR531" t="s">
        <v>7369</v>
      </c>
      <c r="AS531" t="s">
        <v>7370</v>
      </c>
      <c r="AT531" t="s">
        <v>7083</v>
      </c>
      <c r="AU531">
        <v>1998</v>
      </c>
      <c r="AV531">
        <v>25</v>
      </c>
      <c r="AW531">
        <v>9</v>
      </c>
      <c r="AX531" t="s">
        <v>74</v>
      </c>
      <c r="AY531" t="s">
        <v>74</v>
      </c>
      <c r="AZ531" t="s">
        <v>74</v>
      </c>
      <c r="BA531" t="s">
        <v>74</v>
      </c>
      <c r="BB531">
        <v>753</v>
      </c>
      <c r="BC531">
        <v>756</v>
      </c>
      <c r="BD531" t="s">
        <v>74</v>
      </c>
      <c r="BE531" t="s">
        <v>7371</v>
      </c>
      <c r="BF531" t="str">
        <f>HYPERLINK("http://dx.doi.org/10.1111/j.1440-1681.1998.tb02291.x","http://dx.doi.org/10.1111/j.1440-1681.1998.tb02291.x")</f>
        <v>http://dx.doi.org/10.1111/j.1440-1681.1998.tb02291.x</v>
      </c>
      <c r="BG531" t="s">
        <v>74</v>
      </c>
      <c r="BH531" t="s">
        <v>74</v>
      </c>
      <c r="BI531">
        <v>4</v>
      </c>
      <c r="BJ531" t="s">
        <v>7372</v>
      </c>
      <c r="BK531" t="s">
        <v>95</v>
      </c>
      <c r="BL531" t="s">
        <v>7372</v>
      </c>
      <c r="BM531" t="s">
        <v>7373</v>
      </c>
      <c r="BN531">
        <v>9750970</v>
      </c>
      <c r="BO531" t="s">
        <v>74</v>
      </c>
      <c r="BP531" t="s">
        <v>74</v>
      </c>
      <c r="BQ531" t="s">
        <v>74</v>
      </c>
      <c r="BR531" t="s">
        <v>98</v>
      </c>
      <c r="BS531" t="s">
        <v>7374</v>
      </c>
      <c r="BT531" t="str">
        <f>HYPERLINK("https%3A%2F%2Fwww.webofscience.com%2Fwos%2Fwoscc%2Ffull-record%2FWOS:000075689600021","View Full Record in Web of Science")</f>
        <v>View Full Record in Web of Science</v>
      </c>
    </row>
    <row r="532" spans="1:72" x14ac:dyDescent="0.15">
      <c r="A532" t="s">
        <v>72</v>
      </c>
      <c r="B532" t="s">
        <v>7375</v>
      </c>
      <c r="C532" t="s">
        <v>74</v>
      </c>
      <c r="D532" t="s">
        <v>74</v>
      </c>
      <c r="E532" t="s">
        <v>74</v>
      </c>
      <c r="F532" t="s">
        <v>7375</v>
      </c>
      <c r="G532" t="s">
        <v>74</v>
      </c>
      <c r="H532" t="s">
        <v>74</v>
      </c>
      <c r="I532" t="s">
        <v>7376</v>
      </c>
      <c r="J532" t="s">
        <v>7377</v>
      </c>
      <c r="K532" t="s">
        <v>74</v>
      </c>
      <c r="L532" t="s">
        <v>74</v>
      </c>
      <c r="M532" t="s">
        <v>77</v>
      </c>
      <c r="N532" t="s">
        <v>103</v>
      </c>
      <c r="O532" t="s">
        <v>74</v>
      </c>
      <c r="P532" t="s">
        <v>74</v>
      </c>
      <c r="Q532" t="s">
        <v>74</v>
      </c>
      <c r="R532" t="s">
        <v>74</v>
      </c>
      <c r="S532" t="s">
        <v>74</v>
      </c>
      <c r="T532" t="s">
        <v>7378</v>
      </c>
      <c r="U532" t="s">
        <v>7379</v>
      </c>
      <c r="V532" t="s">
        <v>7380</v>
      </c>
      <c r="W532" t="s">
        <v>2006</v>
      </c>
      <c r="X532" t="s">
        <v>2007</v>
      </c>
      <c r="Y532" t="s">
        <v>6526</v>
      </c>
      <c r="Z532" t="s">
        <v>74</v>
      </c>
      <c r="AA532" t="s">
        <v>74</v>
      </c>
      <c r="AB532" t="s">
        <v>74</v>
      </c>
      <c r="AC532" t="s">
        <v>74</v>
      </c>
      <c r="AD532" t="s">
        <v>74</v>
      </c>
      <c r="AE532" t="s">
        <v>74</v>
      </c>
      <c r="AF532" t="s">
        <v>74</v>
      </c>
      <c r="AG532">
        <v>13</v>
      </c>
      <c r="AH532">
        <v>16</v>
      </c>
      <c r="AI532">
        <v>16</v>
      </c>
      <c r="AJ532">
        <v>0</v>
      </c>
      <c r="AK532">
        <v>15</v>
      </c>
      <c r="AL532" t="s">
        <v>4142</v>
      </c>
      <c r="AM532" t="s">
        <v>1101</v>
      </c>
      <c r="AN532" t="s">
        <v>4143</v>
      </c>
      <c r="AO532" t="s">
        <v>7381</v>
      </c>
      <c r="AP532" t="s">
        <v>74</v>
      </c>
      <c r="AQ532" t="s">
        <v>74</v>
      </c>
      <c r="AR532" t="s">
        <v>7377</v>
      </c>
      <c r="AS532" t="s">
        <v>7382</v>
      </c>
      <c r="AT532" t="s">
        <v>7083</v>
      </c>
      <c r="AU532">
        <v>1998</v>
      </c>
      <c r="AV532">
        <v>37</v>
      </c>
      <c r="AW532">
        <v>2</v>
      </c>
      <c r="AX532" t="s">
        <v>74</v>
      </c>
      <c r="AY532" t="s">
        <v>74</v>
      </c>
      <c r="AZ532" t="s">
        <v>74</v>
      </c>
      <c r="BA532" t="s">
        <v>74</v>
      </c>
      <c r="BB532">
        <v>163</v>
      </c>
      <c r="BC532">
        <v>166</v>
      </c>
      <c r="BD532" t="s">
        <v>74</v>
      </c>
      <c r="BE532" t="s">
        <v>7383</v>
      </c>
      <c r="BF532" t="str">
        <f>HYPERLINK("http://dx.doi.org/10.1006/cryo.1998.2110","http://dx.doi.org/10.1006/cryo.1998.2110")</f>
        <v>http://dx.doi.org/10.1006/cryo.1998.2110</v>
      </c>
      <c r="BG532" t="s">
        <v>74</v>
      </c>
      <c r="BH532" t="s">
        <v>74</v>
      </c>
      <c r="BI532">
        <v>4</v>
      </c>
      <c r="BJ532" t="s">
        <v>7384</v>
      </c>
      <c r="BK532" t="s">
        <v>95</v>
      </c>
      <c r="BL532" t="s">
        <v>7385</v>
      </c>
      <c r="BM532" t="s">
        <v>7386</v>
      </c>
      <c r="BN532">
        <v>9769167</v>
      </c>
      <c r="BO532" t="s">
        <v>74</v>
      </c>
      <c r="BP532" t="s">
        <v>74</v>
      </c>
      <c r="BQ532" t="s">
        <v>74</v>
      </c>
      <c r="BR532" t="s">
        <v>98</v>
      </c>
      <c r="BS532" t="s">
        <v>7387</v>
      </c>
      <c r="BT532" t="str">
        <f>HYPERLINK("https%3A%2F%2Fwww.webofscience.com%2Fwos%2Fwoscc%2Ffull-record%2FWOS:000076388700008","View Full Record in Web of Science")</f>
        <v>View Full Record in Web of Science</v>
      </c>
    </row>
    <row r="533" spans="1:72" x14ac:dyDescent="0.15">
      <c r="A533" t="s">
        <v>72</v>
      </c>
      <c r="B533" t="s">
        <v>7388</v>
      </c>
      <c r="C533" t="s">
        <v>74</v>
      </c>
      <c r="D533" t="s">
        <v>74</v>
      </c>
      <c r="E533" t="s">
        <v>74</v>
      </c>
      <c r="F533" t="s">
        <v>7388</v>
      </c>
      <c r="G533" t="s">
        <v>74</v>
      </c>
      <c r="H533" t="s">
        <v>74</v>
      </c>
      <c r="I533" t="s">
        <v>7389</v>
      </c>
      <c r="J533" t="s">
        <v>6280</v>
      </c>
      <c r="K533" t="s">
        <v>74</v>
      </c>
      <c r="L533" t="s">
        <v>74</v>
      </c>
      <c r="M533" t="s">
        <v>77</v>
      </c>
      <c r="N533" t="s">
        <v>103</v>
      </c>
      <c r="O533" t="s">
        <v>74</v>
      </c>
      <c r="P533" t="s">
        <v>74</v>
      </c>
      <c r="Q533" t="s">
        <v>74</v>
      </c>
      <c r="R533" t="s">
        <v>74</v>
      </c>
      <c r="S533" t="s">
        <v>74</v>
      </c>
      <c r="T533" t="s">
        <v>74</v>
      </c>
      <c r="U533" t="s">
        <v>7390</v>
      </c>
      <c r="V533" t="s">
        <v>7391</v>
      </c>
      <c r="W533" t="s">
        <v>7392</v>
      </c>
      <c r="X533" t="s">
        <v>7393</v>
      </c>
      <c r="Y533" t="s">
        <v>7394</v>
      </c>
      <c r="Z533" t="s">
        <v>74</v>
      </c>
      <c r="AA533" t="s">
        <v>7395</v>
      </c>
      <c r="AB533" t="s">
        <v>7396</v>
      </c>
      <c r="AC533" t="s">
        <v>74</v>
      </c>
      <c r="AD533" t="s">
        <v>74</v>
      </c>
      <c r="AE533" t="s">
        <v>74</v>
      </c>
      <c r="AF533" t="s">
        <v>74</v>
      </c>
      <c r="AG533">
        <v>45</v>
      </c>
      <c r="AH533">
        <v>5</v>
      </c>
      <c r="AI533">
        <v>5</v>
      </c>
      <c r="AJ533">
        <v>0</v>
      </c>
      <c r="AK533">
        <v>3</v>
      </c>
      <c r="AL533" t="s">
        <v>445</v>
      </c>
      <c r="AM533" t="s">
        <v>229</v>
      </c>
      <c r="AN533" t="s">
        <v>446</v>
      </c>
      <c r="AO533" t="s">
        <v>6289</v>
      </c>
      <c r="AP533" t="s">
        <v>74</v>
      </c>
      <c r="AQ533" t="s">
        <v>74</v>
      </c>
      <c r="AR533" t="s">
        <v>6291</v>
      </c>
      <c r="AS533" t="s">
        <v>6292</v>
      </c>
      <c r="AT533" t="s">
        <v>7083</v>
      </c>
      <c r="AU533">
        <v>1998</v>
      </c>
      <c r="AV533">
        <v>45</v>
      </c>
      <c r="AW533">
        <v>9</v>
      </c>
      <c r="AX533" t="s">
        <v>74</v>
      </c>
      <c r="AY533" t="s">
        <v>74</v>
      </c>
      <c r="AZ533" t="s">
        <v>74</v>
      </c>
      <c r="BA533" t="s">
        <v>74</v>
      </c>
      <c r="BB533">
        <v>1515</v>
      </c>
      <c r="BC533">
        <v>1540</v>
      </c>
      <c r="BD533" t="s">
        <v>74</v>
      </c>
      <c r="BE533" t="s">
        <v>7397</v>
      </c>
      <c r="BF533" t="str">
        <f>HYPERLINK("http://dx.doi.org/10.1016/S0967-0637(98)00024-7","http://dx.doi.org/10.1016/S0967-0637(98)00024-7")</f>
        <v>http://dx.doi.org/10.1016/S0967-0637(98)00024-7</v>
      </c>
      <c r="BG533" t="s">
        <v>74</v>
      </c>
      <c r="BH533" t="s">
        <v>74</v>
      </c>
      <c r="BI533">
        <v>26</v>
      </c>
      <c r="BJ533" t="s">
        <v>451</v>
      </c>
      <c r="BK533" t="s">
        <v>95</v>
      </c>
      <c r="BL533" t="s">
        <v>451</v>
      </c>
      <c r="BM533" t="s">
        <v>7398</v>
      </c>
      <c r="BN533" t="s">
        <v>74</v>
      </c>
      <c r="BO533" t="s">
        <v>74</v>
      </c>
      <c r="BP533" t="s">
        <v>74</v>
      </c>
      <c r="BQ533" t="s">
        <v>74</v>
      </c>
      <c r="BR533" t="s">
        <v>98</v>
      </c>
      <c r="BS533" t="s">
        <v>7399</v>
      </c>
      <c r="BT533" t="str">
        <f>HYPERLINK("https%3A%2F%2Fwww.webofscience.com%2Fwos%2Fwoscc%2Ffull-record%2FWOS:000076581800006","View Full Record in Web of Science")</f>
        <v>View Full Record in Web of Science</v>
      </c>
    </row>
    <row r="534" spans="1:72" x14ac:dyDescent="0.15">
      <c r="A534" t="s">
        <v>72</v>
      </c>
      <c r="B534" t="s">
        <v>7400</v>
      </c>
      <c r="C534" t="s">
        <v>74</v>
      </c>
      <c r="D534" t="s">
        <v>74</v>
      </c>
      <c r="E534" t="s">
        <v>74</v>
      </c>
      <c r="F534" t="s">
        <v>7400</v>
      </c>
      <c r="G534" t="s">
        <v>74</v>
      </c>
      <c r="H534" t="s">
        <v>74</v>
      </c>
      <c r="I534" t="s">
        <v>7401</v>
      </c>
      <c r="J534" t="s">
        <v>6280</v>
      </c>
      <c r="K534" t="s">
        <v>74</v>
      </c>
      <c r="L534" t="s">
        <v>74</v>
      </c>
      <c r="M534" t="s">
        <v>77</v>
      </c>
      <c r="N534" t="s">
        <v>103</v>
      </c>
      <c r="O534" t="s">
        <v>74</v>
      </c>
      <c r="P534" t="s">
        <v>74</v>
      </c>
      <c r="Q534" t="s">
        <v>74</v>
      </c>
      <c r="R534" t="s">
        <v>74</v>
      </c>
      <c r="S534" t="s">
        <v>74</v>
      </c>
      <c r="T534" t="s">
        <v>74</v>
      </c>
      <c r="U534" t="s">
        <v>7402</v>
      </c>
      <c r="V534" t="s">
        <v>7403</v>
      </c>
      <c r="W534" t="s">
        <v>944</v>
      </c>
      <c r="X534" t="s">
        <v>628</v>
      </c>
      <c r="Y534" t="s">
        <v>7404</v>
      </c>
      <c r="Z534" t="s">
        <v>7405</v>
      </c>
      <c r="AA534" t="s">
        <v>7406</v>
      </c>
      <c r="AB534" t="s">
        <v>2178</v>
      </c>
      <c r="AC534" t="s">
        <v>74</v>
      </c>
      <c r="AD534" t="s">
        <v>74</v>
      </c>
      <c r="AE534" t="s">
        <v>74</v>
      </c>
      <c r="AF534" t="s">
        <v>74</v>
      </c>
      <c r="AG534">
        <v>63</v>
      </c>
      <c r="AH534">
        <v>38</v>
      </c>
      <c r="AI534">
        <v>38</v>
      </c>
      <c r="AJ534">
        <v>1</v>
      </c>
      <c r="AK534">
        <v>12</v>
      </c>
      <c r="AL534" t="s">
        <v>445</v>
      </c>
      <c r="AM534" t="s">
        <v>229</v>
      </c>
      <c r="AN534" t="s">
        <v>446</v>
      </c>
      <c r="AO534" t="s">
        <v>6289</v>
      </c>
      <c r="AP534" t="s">
        <v>74</v>
      </c>
      <c r="AQ534" t="s">
        <v>74</v>
      </c>
      <c r="AR534" t="s">
        <v>6291</v>
      </c>
      <c r="AS534" t="s">
        <v>6292</v>
      </c>
      <c r="AT534" t="s">
        <v>7083</v>
      </c>
      <c r="AU534">
        <v>1998</v>
      </c>
      <c r="AV534">
        <v>45</v>
      </c>
      <c r="AW534">
        <v>9</v>
      </c>
      <c r="AX534" t="s">
        <v>74</v>
      </c>
      <c r="AY534" t="s">
        <v>74</v>
      </c>
      <c r="AZ534" t="s">
        <v>74</v>
      </c>
      <c r="BA534" t="s">
        <v>74</v>
      </c>
      <c r="BB534">
        <v>1555</v>
      </c>
      <c r="BC534">
        <v>1573</v>
      </c>
      <c r="BD534" t="s">
        <v>74</v>
      </c>
      <c r="BE534" t="s">
        <v>7407</v>
      </c>
      <c r="BF534" t="str">
        <f>HYPERLINK("http://dx.doi.org/10.1016/S0967-0637(98)00012-0","http://dx.doi.org/10.1016/S0967-0637(98)00012-0")</f>
        <v>http://dx.doi.org/10.1016/S0967-0637(98)00012-0</v>
      </c>
      <c r="BG534" t="s">
        <v>74</v>
      </c>
      <c r="BH534" t="s">
        <v>74</v>
      </c>
      <c r="BI534">
        <v>19</v>
      </c>
      <c r="BJ534" t="s">
        <v>451</v>
      </c>
      <c r="BK534" t="s">
        <v>95</v>
      </c>
      <c r="BL534" t="s">
        <v>451</v>
      </c>
      <c r="BM534" t="s">
        <v>7398</v>
      </c>
      <c r="BN534" t="s">
        <v>74</v>
      </c>
      <c r="BO534" t="s">
        <v>74</v>
      </c>
      <c r="BP534" t="s">
        <v>74</v>
      </c>
      <c r="BQ534" t="s">
        <v>74</v>
      </c>
      <c r="BR534" t="s">
        <v>98</v>
      </c>
      <c r="BS534" t="s">
        <v>7408</v>
      </c>
      <c r="BT534" t="str">
        <f>HYPERLINK("https%3A%2F%2Fwww.webofscience.com%2Fwos%2Fwoscc%2Ffull-record%2FWOS:000076581800008","View Full Record in Web of Science")</f>
        <v>View Full Record in Web of Science</v>
      </c>
    </row>
    <row r="535" spans="1:72" x14ac:dyDescent="0.15">
      <c r="A535" t="s">
        <v>72</v>
      </c>
      <c r="B535" t="s">
        <v>7409</v>
      </c>
      <c r="C535" t="s">
        <v>74</v>
      </c>
      <c r="D535" t="s">
        <v>74</v>
      </c>
      <c r="E535" t="s">
        <v>74</v>
      </c>
      <c r="F535" t="s">
        <v>7409</v>
      </c>
      <c r="G535" t="s">
        <v>74</v>
      </c>
      <c r="H535" t="s">
        <v>74</v>
      </c>
      <c r="I535" t="s">
        <v>7410</v>
      </c>
      <c r="J535" t="s">
        <v>645</v>
      </c>
      <c r="K535" t="s">
        <v>74</v>
      </c>
      <c r="L535" t="s">
        <v>74</v>
      </c>
      <c r="M535" t="s">
        <v>77</v>
      </c>
      <c r="N535" t="s">
        <v>103</v>
      </c>
      <c r="O535" t="s">
        <v>74</v>
      </c>
      <c r="P535" t="s">
        <v>74</v>
      </c>
      <c r="Q535" t="s">
        <v>74</v>
      </c>
      <c r="R535" t="s">
        <v>74</v>
      </c>
      <c r="S535" t="s">
        <v>74</v>
      </c>
      <c r="T535" t="s">
        <v>7411</v>
      </c>
      <c r="U535" t="s">
        <v>7412</v>
      </c>
      <c r="V535" t="s">
        <v>7413</v>
      </c>
      <c r="W535" t="s">
        <v>7414</v>
      </c>
      <c r="X535" t="s">
        <v>7415</v>
      </c>
      <c r="Y535" t="s">
        <v>7416</v>
      </c>
      <c r="Z535" t="s">
        <v>74</v>
      </c>
      <c r="AA535" t="s">
        <v>74</v>
      </c>
      <c r="AB535" t="s">
        <v>7417</v>
      </c>
      <c r="AC535" t="s">
        <v>74</v>
      </c>
      <c r="AD535" t="s">
        <v>74</v>
      </c>
      <c r="AE535" t="s">
        <v>74</v>
      </c>
      <c r="AF535" t="s">
        <v>74</v>
      </c>
      <c r="AG535">
        <v>66</v>
      </c>
      <c r="AH535">
        <v>76</v>
      </c>
      <c r="AI535">
        <v>80</v>
      </c>
      <c r="AJ535">
        <v>0</v>
      </c>
      <c r="AK535">
        <v>30</v>
      </c>
      <c r="AL535" t="s">
        <v>655</v>
      </c>
      <c r="AM535" t="s">
        <v>656</v>
      </c>
      <c r="AN535" t="s">
        <v>657</v>
      </c>
      <c r="AO535" t="s">
        <v>658</v>
      </c>
      <c r="AP535" t="s">
        <v>659</v>
      </c>
      <c r="AQ535" t="s">
        <v>74</v>
      </c>
      <c r="AR535" t="s">
        <v>645</v>
      </c>
      <c r="AS535" t="s">
        <v>660</v>
      </c>
      <c r="AT535" t="s">
        <v>7083</v>
      </c>
      <c r="AU535">
        <v>1998</v>
      </c>
      <c r="AV535">
        <v>79</v>
      </c>
      <c r="AW535">
        <v>6</v>
      </c>
      <c r="AX535" t="s">
        <v>74</v>
      </c>
      <c r="AY535" t="s">
        <v>74</v>
      </c>
      <c r="AZ535" t="s">
        <v>74</v>
      </c>
      <c r="BA535" t="s">
        <v>74</v>
      </c>
      <c r="BB535">
        <v>1905</v>
      </c>
      <c r="BC535">
        <v>1921</v>
      </c>
      <c r="BD535" t="s">
        <v>74</v>
      </c>
      <c r="BE535" t="s">
        <v>7418</v>
      </c>
      <c r="BF535" t="str">
        <f>HYPERLINK("http://dx.doi.org/10.2307/176698","http://dx.doi.org/10.2307/176698")</f>
        <v>http://dx.doi.org/10.2307/176698</v>
      </c>
      <c r="BG535" t="s">
        <v>74</v>
      </c>
      <c r="BH535" t="s">
        <v>74</v>
      </c>
      <c r="BI535">
        <v>17</v>
      </c>
      <c r="BJ535" t="s">
        <v>660</v>
      </c>
      <c r="BK535" t="s">
        <v>95</v>
      </c>
      <c r="BL535" t="s">
        <v>661</v>
      </c>
      <c r="BM535" t="s">
        <v>7419</v>
      </c>
      <c r="BN535" t="s">
        <v>74</v>
      </c>
      <c r="BO535" t="s">
        <v>74</v>
      </c>
      <c r="BP535" t="s">
        <v>74</v>
      </c>
      <c r="BQ535" t="s">
        <v>74</v>
      </c>
      <c r="BR535" t="s">
        <v>98</v>
      </c>
      <c r="BS535" t="s">
        <v>7420</v>
      </c>
      <c r="BT535" t="str">
        <f>HYPERLINK("https%3A%2F%2Fwww.webofscience.com%2Fwos%2Fwoscc%2Ffull-record%2FWOS:000075752700006","View Full Record in Web of Science")</f>
        <v>View Full Record in Web of Science</v>
      </c>
    </row>
    <row r="536" spans="1:72" x14ac:dyDescent="0.15">
      <c r="A536" t="s">
        <v>72</v>
      </c>
      <c r="B536" t="s">
        <v>7421</v>
      </c>
      <c r="C536" t="s">
        <v>74</v>
      </c>
      <c r="D536" t="s">
        <v>74</v>
      </c>
      <c r="E536" t="s">
        <v>74</v>
      </c>
      <c r="F536" t="s">
        <v>7421</v>
      </c>
      <c r="G536" t="s">
        <v>74</v>
      </c>
      <c r="H536" t="s">
        <v>74</v>
      </c>
      <c r="I536" t="s">
        <v>7422</v>
      </c>
      <c r="J536" t="s">
        <v>4283</v>
      </c>
      <c r="K536" t="s">
        <v>74</v>
      </c>
      <c r="L536" t="s">
        <v>74</v>
      </c>
      <c r="M536" t="s">
        <v>77</v>
      </c>
      <c r="N536" t="s">
        <v>2185</v>
      </c>
      <c r="O536" t="s">
        <v>74</v>
      </c>
      <c r="P536" t="s">
        <v>74</v>
      </c>
      <c r="Q536" t="s">
        <v>74</v>
      </c>
      <c r="R536" t="s">
        <v>74</v>
      </c>
      <c r="S536" t="s">
        <v>74</v>
      </c>
      <c r="T536" t="s">
        <v>74</v>
      </c>
      <c r="U536" t="s">
        <v>74</v>
      </c>
      <c r="V536" t="s">
        <v>74</v>
      </c>
      <c r="W536" t="s">
        <v>74</v>
      </c>
      <c r="X536" t="s">
        <v>74</v>
      </c>
      <c r="Y536" t="s">
        <v>74</v>
      </c>
      <c r="Z536" t="s">
        <v>74</v>
      </c>
      <c r="AA536" t="s">
        <v>74</v>
      </c>
      <c r="AB536" t="s">
        <v>74</v>
      </c>
      <c r="AC536" t="s">
        <v>74</v>
      </c>
      <c r="AD536" t="s">
        <v>74</v>
      </c>
      <c r="AE536" t="s">
        <v>74</v>
      </c>
      <c r="AF536" t="s">
        <v>74</v>
      </c>
      <c r="AG536">
        <v>0</v>
      </c>
      <c r="AH536">
        <v>0</v>
      </c>
      <c r="AI536">
        <v>0</v>
      </c>
      <c r="AJ536">
        <v>0</v>
      </c>
      <c r="AK536">
        <v>1</v>
      </c>
      <c r="AL536" t="s">
        <v>4291</v>
      </c>
      <c r="AM536" t="s">
        <v>4292</v>
      </c>
      <c r="AN536" t="s">
        <v>4293</v>
      </c>
      <c r="AO536" t="s">
        <v>4294</v>
      </c>
      <c r="AP536" t="s">
        <v>74</v>
      </c>
      <c r="AQ536" t="s">
        <v>74</v>
      </c>
      <c r="AR536" t="s">
        <v>4283</v>
      </c>
      <c r="AS536" t="s">
        <v>4295</v>
      </c>
      <c r="AT536" t="s">
        <v>7083</v>
      </c>
      <c r="AU536">
        <v>1998</v>
      </c>
      <c r="AV536">
        <v>21</v>
      </c>
      <c r="AW536">
        <v>3</v>
      </c>
      <c r="AX536" t="s">
        <v>74</v>
      </c>
      <c r="AY536" t="s">
        <v>74</v>
      </c>
      <c r="AZ536" t="s">
        <v>74</v>
      </c>
      <c r="BA536" t="s">
        <v>74</v>
      </c>
      <c r="BB536">
        <v>199</v>
      </c>
      <c r="BC536">
        <v>199</v>
      </c>
      <c r="BD536" t="s">
        <v>74</v>
      </c>
      <c r="BE536" t="s">
        <v>74</v>
      </c>
      <c r="BF536" t="s">
        <v>74</v>
      </c>
      <c r="BG536" t="s">
        <v>74</v>
      </c>
      <c r="BH536" t="s">
        <v>74</v>
      </c>
      <c r="BI536">
        <v>1</v>
      </c>
      <c r="BJ536" t="s">
        <v>192</v>
      </c>
      <c r="BK536" t="s">
        <v>95</v>
      </c>
      <c r="BL536" t="s">
        <v>193</v>
      </c>
      <c r="BM536" t="s">
        <v>7423</v>
      </c>
      <c r="BN536" t="s">
        <v>74</v>
      </c>
      <c r="BO536" t="s">
        <v>74</v>
      </c>
      <c r="BP536" t="s">
        <v>74</v>
      </c>
      <c r="BQ536" t="s">
        <v>74</v>
      </c>
      <c r="BR536" t="s">
        <v>98</v>
      </c>
      <c r="BS536" t="s">
        <v>7424</v>
      </c>
      <c r="BT536" t="str">
        <f>HYPERLINK("https%3A%2F%2Fwww.webofscience.com%2Fwos%2Fwoscc%2Ffull-record%2FWOS:000076237000010","View Full Record in Web of Science")</f>
        <v>View Full Record in Web of Science</v>
      </c>
    </row>
    <row r="537" spans="1:72" x14ac:dyDescent="0.15">
      <c r="A537" t="s">
        <v>72</v>
      </c>
      <c r="B537" t="s">
        <v>7425</v>
      </c>
      <c r="C537" t="s">
        <v>74</v>
      </c>
      <c r="D537" t="s">
        <v>74</v>
      </c>
      <c r="E537" t="s">
        <v>74</v>
      </c>
      <c r="F537" t="s">
        <v>7425</v>
      </c>
      <c r="G537" t="s">
        <v>74</v>
      </c>
      <c r="H537" t="s">
        <v>74</v>
      </c>
      <c r="I537" t="s">
        <v>7426</v>
      </c>
      <c r="J537" t="s">
        <v>6327</v>
      </c>
      <c r="K537" t="s">
        <v>74</v>
      </c>
      <c r="L537" t="s">
        <v>74</v>
      </c>
      <c r="M537" t="s">
        <v>77</v>
      </c>
      <c r="N537" t="s">
        <v>103</v>
      </c>
      <c r="O537" t="s">
        <v>74</v>
      </c>
      <c r="P537" t="s">
        <v>74</v>
      </c>
      <c r="Q537" t="s">
        <v>74</v>
      </c>
      <c r="R537" t="s">
        <v>74</v>
      </c>
      <c r="S537" t="s">
        <v>74</v>
      </c>
      <c r="T537" t="s">
        <v>7427</v>
      </c>
      <c r="U537" t="s">
        <v>7428</v>
      </c>
      <c r="V537" t="s">
        <v>7429</v>
      </c>
      <c r="W537" t="s">
        <v>7430</v>
      </c>
      <c r="X537" t="s">
        <v>7431</v>
      </c>
      <c r="Y537" t="s">
        <v>7432</v>
      </c>
      <c r="Z537" t="s">
        <v>7433</v>
      </c>
      <c r="AA537" t="s">
        <v>74</v>
      </c>
      <c r="AB537" t="s">
        <v>74</v>
      </c>
      <c r="AC537" t="s">
        <v>74</v>
      </c>
      <c r="AD537" t="s">
        <v>74</v>
      </c>
      <c r="AE537" t="s">
        <v>74</v>
      </c>
      <c r="AF537" t="s">
        <v>74</v>
      </c>
      <c r="AG537">
        <v>27</v>
      </c>
      <c r="AH537">
        <v>14</v>
      </c>
      <c r="AI537">
        <v>15</v>
      </c>
      <c r="AJ537">
        <v>0</v>
      </c>
      <c r="AK537">
        <v>6</v>
      </c>
      <c r="AL537" t="s">
        <v>805</v>
      </c>
      <c r="AM537" t="s">
        <v>866</v>
      </c>
      <c r="AN537" t="s">
        <v>867</v>
      </c>
      <c r="AO537" t="s">
        <v>6334</v>
      </c>
      <c r="AP537" t="s">
        <v>74</v>
      </c>
      <c r="AQ537" t="s">
        <v>74</v>
      </c>
      <c r="AR537" t="s">
        <v>6335</v>
      </c>
      <c r="AS537" t="s">
        <v>6336</v>
      </c>
      <c r="AT537" t="s">
        <v>7083</v>
      </c>
      <c r="AU537">
        <v>1998</v>
      </c>
      <c r="AV537">
        <v>19</v>
      </c>
      <c r="AW537">
        <v>2</v>
      </c>
      <c r="AX537" t="s">
        <v>74</v>
      </c>
      <c r="AY537" t="s">
        <v>74</v>
      </c>
      <c r="AZ537" t="s">
        <v>74</v>
      </c>
      <c r="BA537" t="s">
        <v>74</v>
      </c>
      <c r="BB537">
        <v>103</v>
      </c>
      <c r="BC537">
        <v>109</v>
      </c>
      <c r="BD537" t="s">
        <v>74</v>
      </c>
      <c r="BE537" t="s">
        <v>7434</v>
      </c>
      <c r="BF537" t="str">
        <f>HYPERLINK("http://dx.doi.org/10.1023/A:1007739015634","http://dx.doi.org/10.1023/A:1007739015634")</f>
        <v>http://dx.doi.org/10.1023/A:1007739015634</v>
      </c>
      <c r="BG537" t="s">
        <v>74</v>
      </c>
      <c r="BH537" t="s">
        <v>74</v>
      </c>
      <c r="BI537">
        <v>7</v>
      </c>
      <c r="BJ537" t="s">
        <v>6338</v>
      </c>
      <c r="BK537" t="s">
        <v>95</v>
      </c>
      <c r="BL537" t="s">
        <v>6338</v>
      </c>
      <c r="BM537" t="s">
        <v>7435</v>
      </c>
      <c r="BN537" t="s">
        <v>74</v>
      </c>
      <c r="BO537" t="s">
        <v>74</v>
      </c>
      <c r="BP537" t="s">
        <v>74</v>
      </c>
      <c r="BQ537" t="s">
        <v>74</v>
      </c>
      <c r="BR537" t="s">
        <v>98</v>
      </c>
      <c r="BS537" t="s">
        <v>7436</v>
      </c>
      <c r="BT537" t="str">
        <f>HYPERLINK("https%3A%2F%2Fwww.webofscience.com%2Fwos%2Fwoscc%2Ffull-record%2FWOS:000076332000001","View Full Record in Web of Science")</f>
        <v>View Full Record in Web of Science</v>
      </c>
    </row>
    <row r="538" spans="1:72" x14ac:dyDescent="0.15">
      <c r="A538" t="s">
        <v>72</v>
      </c>
      <c r="B538" t="s">
        <v>7437</v>
      </c>
      <c r="C538" t="s">
        <v>74</v>
      </c>
      <c r="D538" t="s">
        <v>74</v>
      </c>
      <c r="E538" t="s">
        <v>74</v>
      </c>
      <c r="F538" t="s">
        <v>7437</v>
      </c>
      <c r="G538" t="s">
        <v>74</v>
      </c>
      <c r="H538" t="s">
        <v>74</v>
      </c>
      <c r="I538" t="s">
        <v>7438</v>
      </c>
      <c r="J538" t="s">
        <v>7439</v>
      </c>
      <c r="K538" t="s">
        <v>74</v>
      </c>
      <c r="L538" t="s">
        <v>74</v>
      </c>
      <c r="M538" t="s">
        <v>77</v>
      </c>
      <c r="N538" t="s">
        <v>103</v>
      </c>
      <c r="O538" t="s">
        <v>74</v>
      </c>
      <c r="P538" t="s">
        <v>74</v>
      </c>
      <c r="Q538" t="s">
        <v>74</v>
      </c>
      <c r="R538" t="s">
        <v>74</v>
      </c>
      <c r="S538" t="s">
        <v>74</v>
      </c>
      <c r="T538" t="s">
        <v>7440</v>
      </c>
      <c r="U538" t="s">
        <v>7441</v>
      </c>
      <c r="V538" t="s">
        <v>7442</v>
      </c>
      <c r="W538" t="s">
        <v>7443</v>
      </c>
      <c r="X538" t="s">
        <v>7444</v>
      </c>
      <c r="Y538" t="s">
        <v>545</v>
      </c>
      <c r="Z538" t="s">
        <v>863</v>
      </c>
      <c r="AA538" t="s">
        <v>7445</v>
      </c>
      <c r="AB538" t="s">
        <v>7446</v>
      </c>
      <c r="AC538" t="s">
        <v>74</v>
      </c>
      <c r="AD538" t="s">
        <v>74</v>
      </c>
      <c r="AE538" t="s">
        <v>74</v>
      </c>
      <c r="AF538" t="s">
        <v>74</v>
      </c>
      <c r="AG538">
        <v>47</v>
      </c>
      <c r="AH538">
        <v>138</v>
      </c>
      <c r="AI538">
        <v>156</v>
      </c>
      <c r="AJ538">
        <v>0</v>
      </c>
      <c r="AK538">
        <v>23</v>
      </c>
      <c r="AL538" t="s">
        <v>655</v>
      </c>
      <c r="AM538" t="s">
        <v>656</v>
      </c>
      <c r="AN538" t="s">
        <v>657</v>
      </c>
      <c r="AO538" t="s">
        <v>7447</v>
      </c>
      <c r="AP538" t="s">
        <v>7448</v>
      </c>
      <c r="AQ538" t="s">
        <v>74</v>
      </c>
      <c r="AR538" t="s">
        <v>7449</v>
      </c>
      <c r="AS538" t="s">
        <v>7450</v>
      </c>
      <c r="AT538" t="s">
        <v>7451</v>
      </c>
      <c r="AU538">
        <v>1998</v>
      </c>
      <c r="AV538">
        <v>7</v>
      </c>
      <c r="AW538" t="s">
        <v>1282</v>
      </c>
      <c r="AX538" t="s">
        <v>74</v>
      </c>
      <c r="AY538" t="s">
        <v>74</v>
      </c>
      <c r="AZ538" t="s">
        <v>74</v>
      </c>
      <c r="BA538" t="s">
        <v>74</v>
      </c>
      <c r="BB538">
        <v>381</v>
      </c>
      <c r="BC538">
        <v>390</v>
      </c>
      <c r="BD538" t="s">
        <v>74</v>
      </c>
      <c r="BE538" t="s">
        <v>7452</v>
      </c>
      <c r="BF538" t="str">
        <f>HYPERLINK("http://dx.doi.org/10.1046/j.1365-2419.1998.00081.x","http://dx.doi.org/10.1046/j.1365-2419.1998.00081.x")</f>
        <v>http://dx.doi.org/10.1046/j.1365-2419.1998.00081.x</v>
      </c>
      <c r="BG538" t="s">
        <v>74</v>
      </c>
      <c r="BH538" t="s">
        <v>74</v>
      </c>
      <c r="BI538">
        <v>10</v>
      </c>
      <c r="BJ538" t="s">
        <v>7453</v>
      </c>
      <c r="BK538" t="s">
        <v>95</v>
      </c>
      <c r="BL538" t="s">
        <v>7453</v>
      </c>
      <c r="BM538" t="s">
        <v>7454</v>
      </c>
      <c r="BN538" t="s">
        <v>74</v>
      </c>
      <c r="BO538" t="s">
        <v>74</v>
      </c>
      <c r="BP538" t="s">
        <v>74</v>
      </c>
      <c r="BQ538" t="s">
        <v>74</v>
      </c>
      <c r="BR538" t="s">
        <v>98</v>
      </c>
      <c r="BS538" t="s">
        <v>7455</v>
      </c>
      <c r="BT538" t="str">
        <f>HYPERLINK("https%3A%2F%2Fwww.webofscience.com%2Fwos%2Fwoscc%2Ffull-record%2FWOS:000077865300025","View Full Record in Web of Science")</f>
        <v>View Full Record in Web of Science</v>
      </c>
    </row>
    <row r="539" spans="1:72" x14ac:dyDescent="0.15">
      <c r="A539" t="s">
        <v>72</v>
      </c>
      <c r="B539" t="s">
        <v>7456</v>
      </c>
      <c r="C539" t="s">
        <v>74</v>
      </c>
      <c r="D539" t="s">
        <v>74</v>
      </c>
      <c r="E539" t="s">
        <v>74</v>
      </c>
      <c r="F539" t="s">
        <v>7456</v>
      </c>
      <c r="G539" t="s">
        <v>74</v>
      </c>
      <c r="H539" t="s">
        <v>74</v>
      </c>
      <c r="I539" t="s">
        <v>7457</v>
      </c>
      <c r="J539" t="s">
        <v>7458</v>
      </c>
      <c r="K539" t="s">
        <v>74</v>
      </c>
      <c r="L539" t="s">
        <v>74</v>
      </c>
      <c r="M539" t="s">
        <v>77</v>
      </c>
      <c r="N539" t="s">
        <v>103</v>
      </c>
      <c r="O539" t="s">
        <v>74</v>
      </c>
      <c r="P539" t="s">
        <v>74</v>
      </c>
      <c r="Q539" t="s">
        <v>74</v>
      </c>
      <c r="R539" t="s">
        <v>74</v>
      </c>
      <c r="S539" t="s">
        <v>74</v>
      </c>
      <c r="T539" t="s">
        <v>7459</v>
      </c>
      <c r="U539" t="s">
        <v>7460</v>
      </c>
      <c r="V539" t="s">
        <v>7461</v>
      </c>
      <c r="W539" t="s">
        <v>7462</v>
      </c>
      <c r="X539" t="s">
        <v>7463</v>
      </c>
      <c r="Y539" t="s">
        <v>7464</v>
      </c>
      <c r="Z539" t="s">
        <v>74</v>
      </c>
      <c r="AA539" t="s">
        <v>74</v>
      </c>
      <c r="AB539" t="s">
        <v>74</v>
      </c>
      <c r="AC539" t="s">
        <v>74</v>
      </c>
      <c r="AD539" t="s">
        <v>74</v>
      </c>
      <c r="AE539" t="s">
        <v>74</v>
      </c>
      <c r="AF539" t="s">
        <v>74</v>
      </c>
      <c r="AG539">
        <v>20</v>
      </c>
      <c r="AH539">
        <v>2</v>
      </c>
      <c r="AI539">
        <v>3</v>
      </c>
      <c r="AJ539">
        <v>0</v>
      </c>
      <c r="AK539">
        <v>2</v>
      </c>
      <c r="AL539" t="s">
        <v>845</v>
      </c>
      <c r="AM539" t="s">
        <v>187</v>
      </c>
      <c r="AN539" t="s">
        <v>846</v>
      </c>
      <c r="AO539" t="s">
        <v>7465</v>
      </c>
      <c r="AP539" t="s">
        <v>74</v>
      </c>
      <c r="AQ539" t="s">
        <v>74</v>
      </c>
      <c r="AR539" t="s">
        <v>7466</v>
      </c>
      <c r="AS539" t="s">
        <v>7467</v>
      </c>
      <c r="AT539" t="s">
        <v>7468</v>
      </c>
      <c r="AU539">
        <v>1998</v>
      </c>
      <c r="AV539">
        <v>21</v>
      </c>
      <c r="AW539">
        <v>5</v>
      </c>
      <c r="AX539" t="s">
        <v>74</v>
      </c>
      <c r="AY539" t="s">
        <v>74</v>
      </c>
      <c r="AZ539" t="s">
        <v>74</v>
      </c>
      <c r="BA539" t="s">
        <v>74</v>
      </c>
      <c r="BB539">
        <v>527</v>
      </c>
      <c r="BC539">
        <v>546</v>
      </c>
      <c r="BD539" t="s">
        <v>74</v>
      </c>
      <c r="BE539" t="s">
        <v>74</v>
      </c>
      <c r="BF539" t="s">
        <v>74</v>
      </c>
      <c r="BG539" t="s">
        <v>74</v>
      </c>
      <c r="BH539" t="s">
        <v>74</v>
      </c>
      <c r="BI539">
        <v>20</v>
      </c>
      <c r="BJ539" t="s">
        <v>117</v>
      </c>
      <c r="BK539" t="s">
        <v>95</v>
      </c>
      <c r="BL539" t="s">
        <v>117</v>
      </c>
      <c r="BM539" t="s">
        <v>7469</v>
      </c>
      <c r="BN539" t="s">
        <v>74</v>
      </c>
      <c r="BO539" t="s">
        <v>74</v>
      </c>
      <c r="BP539" t="s">
        <v>74</v>
      </c>
      <c r="BQ539" t="s">
        <v>74</v>
      </c>
      <c r="BR539" t="s">
        <v>98</v>
      </c>
      <c r="BS539" t="s">
        <v>7470</v>
      </c>
      <c r="BT539" t="str">
        <f>HYPERLINK("https%3A%2F%2Fwww.webofscience.com%2Fwos%2Fwoscc%2Ffull-record%2FWOS:000076164600012","View Full Record in Web of Science")</f>
        <v>View Full Record in Web of Science</v>
      </c>
    </row>
    <row r="540" spans="1:72" x14ac:dyDescent="0.15">
      <c r="A540" t="s">
        <v>72</v>
      </c>
      <c r="B540" t="s">
        <v>7471</v>
      </c>
      <c r="C540" t="s">
        <v>74</v>
      </c>
      <c r="D540" t="s">
        <v>74</v>
      </c>
      <c r="E540" t="s">
        <v>74</v>
      </c>
      <c r="F540" t="s">
        <v>7471</v>
      </c>
      <c r="G540" t="s">
        <v>74</v>
      </c>
      <c r="H540" t="s">
        <v>74</v>
      </c>
      <c r="I540" t="s">
        <v>7472</v>
      </c>
      <c r="J540" t="s">
        <v>7473</v>
      </c>
      <c r="K540" t="s">
        <v>74</v>
      </c>
      <c r="L540" t="s">
        <v>74</v>
      </c>
      <c r="M540" t="s">
        <v>77</v>
      </c>
      <c r="N540" t="s">
        <v>103</v>
      </c>
      <c r="O540" t="s">
        <v>74</v>
      </c>
      <c r="P540" t="s">
        <v>74</v>
      </c>
      <c r="Q540" t="s">
        <v>74</v>
      </c>
      <c r="R540" t="s">
        <v>74</v>
      </c>
      <c r="S540" t="s">
        <v>74</v>
      </c>
      <c r="T540" t="s">
        <v>74</v>
      </c>
      <c r="U540" t="s">
        <v>7474</v>
      </c>
      <c r="V540" t="s">
        <v>7475</v>
      </c>
      <c r="W540" t="s">
        <v>7476</v>
      </c>
      <c r="X540" t="s">
        <v>7477</v>
      </c>
      <c r="Y540" t="s">
        <v>7478</v>
      </c>
      <c r="Z540" t="s">
        <v>74</v>
      </c>
      <c r="AA540" t="s">
        <v>7479</v>
      </c>
      <c r="AB540" t="s">
        <v>7480</v>
      </c>
      <c r="AC540" t="s">
        <v>74</v>
      </c>
      <c r="AD540" t="s">
        <v>74</v>
      </c>
      <c r="AE540" t="s">
        <v>74</v>
      </c>
      <c r="AF540" t="s">
        <v>74</v>
      </c>
      <c r="AG540">
        <v>63</v>
      </c>
      <c r="AH540">
        <v>120</v>
      </c>
      <c r="AI540">
        <v>130</v>
      </c>
      <c r="AJ540">
        <v>0</v>
      </c>
      <c r="AK540">
        <v>22</v>
      </c>
      <c r="AL540" t="s">
        <v>445</v>
      </c>
      <c r="AM540" t="s">
        <v>229</v>
      </c>
      <c r="AN540" t="s">
        <v>446</v>
      </c>
      <c r="AO540" t="s">
        <v>7481</v>
      </c>
      <c r="AP540" t="s">
        <v>74</v>
      </c>
      <c r="AQ540" t="s">
        <v>74</v>
      </c>
      <c r="AR540" t="s">
        <v>7482</v>
      </c>
      <c r="AS540" t="s">
        <v>7483</v>
      </c>
      <c r="AT540" t="s">
        <v>7083</v>
      </c>
      <c r="AU540">
        <v>1998</v>
      </c>
      <c r="AV540">
        <v>62</v>
      </c>
      <c r="AW540">
        <v>18</v>
      </c>
      <c r="AX540" t="s">
        <v>74</v>
      </c>
      <c r="AY540" t="s">
        <v>74</v>
      </c>
      <c r="AZ540" t="s">
        <v>74</v>
      </c>
      <c r="BA540" t="s">
        <v>74</v>
      </c>
      <c r="BB540">
        <v>3169</v>
      </c>
      <c r="BC540">
        <v>3184</v>
      </c>
      <c r="BD540" t="s">
        <v>74</v>
      </c>
      <c r="BE540" t="s">
        <v>7484</v>
      </c>
      <c r="BF540" t="str">
        <f>HYPERLINK("http://dx.doi.org/10.1016/S0016-7037(98)00199-9","http://dx.doi.org/10.1016/S0016-7037(98)00199-9")</f>
        <v>http://dx.doi.org/10.1016/S0016-7037(98)00199-9</v>
      </c>
      <c r="BG540" t="s">
        <v>74</v>
      </c>
      <c r="BH540" t="s">
        <v>74</v>
      </c>
      <c r="BI540">
        <v>16</v>
      </c>
      <c r="BJ540" t="s">
        <v>303</v>
      </c>
      <c r="BK540" t="s">
        <v>95</v>
      </c>
      <c r="BL540" t="s">
        <v>303</v>
      </c>
      <c r="BM540" t="s">
        <v>7485</v>
      </c>
      <c r="BN540" t="s">
        <v>74</v>
      </c>
      <c r="BO540" t="s">
        <v>74</v>
      </c>
      <c r="BP540" t="s">
        <v>74</v>
      </c>
      <c r="BQ540" t="s">
        <v>74</v>
      </c>
      <c r="BR540" t="s">
        <v>98</v>
      </c>
      <c r="BS540" t="s">
        <v>7486</v>
      </c>
      <c r="BT540" t="str">
        <f>HYPERLINK("https%3A%2F%2Fwww.webofscience.com%2Fwos%2Fwoscc%2Ffull-record%2FWOS:000078028700013","View Full Record in Web of Science")</f>
        <v>View Full Record in Web of Science</v>
      </c>
    </row>
    <row r="541" spans="1:72" x14ac:dyDescent="0.15">
      <c r="A541" t="s">
        <v>72</v>
      </c>
      <c r="B541" t="s">
        <v>7487</v>
      </c>
      <c r="C541" t="s">
        <v>74</v>
      </c>
      <c r="D541" t="s">
        <v>74</v>
      </c>
      <c r="E541" t="s">
        <v>74</v>
      </c>
      <c r="F541" t="s">
        <v>7487</v>
      </c>
      <c r="G541" t="s">
        <v>74</v>
      </c>
      <c r="H541" t="s">
        <v>74</v>
      </c>
      <c r="I541" t="s">
        <v>7488</v>
      </c>
      <c r="J541" t="s">
        <v>7489</v>
      </c>
      <c r="K541" t="s">
        <v>74</v>
      </c>
      <c r="L541" t="s">
        <v>74</v>
      </c>
      <c r="M541" t="s">
        <v>77</v>
      </c>
      <c r="N541" t="s">
        <v>103</v>
      </c>
      <c r="O541" t="s">
        <v>74</v>
      </c>
      <c r="P541" t="s">
        <v>74</v>
      </c>
      <c r="Q541" t="s">
        <v>74</v>
      </c>
      <c r="R541" t="s">
        <v>74</v>
      </c>
      <c r="S541" t="s">
        <v>74</v>
      </c>
      <c r="T541" t="s">
        <v>7490</v>
      </c>
      <c r="U541" t="s">
        <v>7491</v>
      </c>
      <c r="V541" t="s">
        <v>7492</v>
      </c>
      <c r="W541" t="s">
        <v>7493</v>
      </c>
      <c r="X541" t="s">
        <v>7494</v>
      </c>
      <c r="Y541" t="s">
        <v>7495</v>
      </c>
      <c r="Z541" t="s">
        <v>74</v>
      </c>
      <c r="AA541" t="s">
        <v>7496</v>
      </c>
      <c r="AB541" t="s">
        <v>7497</v>
      </c>
      <c r="AC541" t="s">
        <v>74</v>
      </c>
      <c r="AD541" t="s">
        <v>74</v>
      </c>
      <c r="AE541" t="s">
        <v>74</v>
      </c>
      <c r="AF541" t="s">
        <v>74</v>
      </c>
      <c r="AG541">
        <v>35</v>
      </c>
      <c r="AH541">
        <v>38</v>
      </c>
      <c r="AI541">
        <v>39</v>
      </c>
      <c r="AJ541">
        <v>0</v>
      </c>
      <c r="AK541">
        <v>12</v>
      </c>
      <c r="AL541" t="s">
        <v>1716</v>
      </c>
      <c r="AM541" t="s">
        <v>229</v>
      </c>
      <c r="AN541" t="s">
        <v>1717</v>
      </c>
      <c r="AO541" t="s">
        <v>7498</v>
      </c>
      <c r="AP541" t="s">
        <v>74</v>
      </c>
      <c r="AQ541" t="s">
        <v>74</v>
      </c>
      <c r="AR541" t="s">
        <v>7499</v>
      </c>
      <c r="AS541" t="s">
        <v>7500</v>
      </c>
      <c r="AT541" t="s">
        <v>7083</v>
      </c>
      <c r="AU541">
        <v>1998</v>
      </c>
      <c r="AV541">
        <v>134</v>
      </c>
      <c r="AW541">
        <v>3</v>
      </c>
      <c r="AX541" t="s">
        <v>74</v>
      </c>
      <c r="AY541" t="s">
        <v>74</v>
      </c>
      <c r="AZ541" t="s">
        <v>74</v>
      </c>
      <c r="BA541" t="s">
        <v>74</v>
      </c>
      <c r="BB541">
        <v>653</v>
      </c>
      <c r="BC541">
        <v>662</v>
      </c>
      <c r="BD541" t="s">
        <v>74</v>
      </c>
      <c r="BE541" t="s">
        <v>7501</v>
      </c>
      <c r="BF541" t="str">
        <f>HYPERLINK("http://dx.doi.org/10.1046/j.1365-246x.1998.00559.x","http://dx.doi.org/10.1046/j.1365-246x.1998.00559.x")</f>
        <v>http://dx.doi.org/10.1046/j.1365-246x.1998.00559.x</v>
      </c>
      <c r="BG541" t="s">
        <v>74</v>
      </c>
      <c r="BH541" t="s">
        <v>74</v>
      </c>
      <c r="BI541">
        <v>10</v>
      </c>
      <c r="BJ541" t="s">
        <v>303</v>
      </c>
      <c r="BK541" t="s">
        <v>95</v>
      </c>
      <c r="BL541" t="s">
        <v>303</v>
      </c>
      <c r="BM541" t="s">
        <v>7502</v>
      </c>
      <c r="BN541" t="s">
        <v>74</v>
      </c>
      <c r="BO541" t="s">
        <v>1089</v>
      </c>
      <c r="BP541" t="s">
        <v>74</v>
      </c>
      <c r="BQ541" t="s">
        <v>74</v>
      </c>
      <c r="BR541" t="s">
        <v>98</v>
      </c>
      <c r="BS541" t="s">
        <v>7503</v>
      </c>
      <c r="BT541" t="str">
        <f>HYPERLINK("https%3A%2F%2Fwww.webofscience.com%2Fwos%2Fwoscc%2Ffull-record%2FWOS:000075796900001","View Full Record in Web of Science")</f>
        <v>View Full Record in Web of Science</v>
      </c>
    </row>
    <row r="542" spans="1:72" x14ac:dyDescent="0.15">
      <c r="A542" t="s">
        <v>72</v>
      </c>
      <c r="B542" t="s">
        <v>7504</v>
      </c>
      <c r="C542" t="s">
        <v>74</v>
      </c>
      <c r="D542" t="s">
        <v>74</v>
      </c>
      <c r="E542" t="s">
        <v>74</v>
      </c>
      <c r="F542" t="s">
        <v>7504</v>
      </c>
      <c r="G542" t="s">
        <v>74</v>
      </c>
      <c r="H542" t="s">
        <v>74</v>
      </c>
      <c r="I542" t="s">
        <v>7505</v>
      </c>
      <c r="J542" t="s">
        <v>7489</v>
      </c>
      <c r="K542" t="s">
        <v>74</v>
      </c>
      <c r="L542" t="s">
        <v>74</v>
      </c>
      <c r="M542" t="s">
        <v>77</v>
      </c>
      <c r="N542" t="s">
        <v>103</v>
      </c>
      <c r="O542" t="s">
        <v>74</v>
      </c>
      <c r="P542" t="s">
        <v>74</v>
      </c>
      <c r="Q542" t="s">
        <v>74</v>
      </c>
      <c r="R542" t="s">
        <v>74</v>
      </c>
      <c r="S542" t="s">
        <v>74</v>
      </c>
      <c r="T542" t="s">
        <v>7506</v>
      </c>
      <c r="U542" t="s">
        <v>7507</v>
      </c>
      <c r="V542" t="s">
        <v>7508</v>
      </c>
      <c r="W542" t="s">
        <v>1437</v>
      </c>
      <c r="X542" t="s">
        <v>628</v>
      </c>
      <c r="Y542" t="s">
        <v>7509</v>
      </c>
      <c r="Z542" t="s">
        <v>74</v>
      </c>
      <c r="AA542" t="s">
        <v>74</v>
      </c>
      <c r="AB542" t="s">
        <v>74</v>
      </c>
      <c r="AC542" t="s">
        <v>74</v>
      </c>
      <c r="AD542" t="s">
        <v>74</v>
      </c>
      <c r="AE542" t="s">
        <v>74</v>
      </c>
      <c r="AF542" t="s">
        <v>74</v>
      </c>
      <c r="AG542">
        <v>52</v>
      </c>
      <c r="AH542">
        <v>16</v>
      </c>
      <c r="AI542">
        <v>19</v>
      </c>
      <c r="AJ542">
        <v>1</v>
      </c>
      <c r="AK542">
        <v>3</v>
      </c>
      <c r="AL542" t="s">
        <v>1716</v>
      </c>
      <c r="AM542" t="s">
        <v>229</v>
      </c>
      <c r="AN542" t="s">
        <v>1717</v>
      </c>
      <c r="AO542" t="s">
        <v>7498</v>
      </c>
      <c r="AP542" t="s">
        <v>74</v>
      </c>
      <c r="AQ542" t="s">
        <v>74</v>
      </c>
      <c r="AR542" t="s">
        <v>7499</v>
      </c>
      <c r="AS542" t="s">
        <v>7500</v>
      </c>
      <c r="AT542" t="s">
        <v>7083</v>
      </c>
      <c r="AU542">
        <v>1998</v>
      </c>
      <c r="AV542">
        <v>134</v>
      </c>
      <c r="AW542">
        <v>3</v>
      </c>
      <c r="AX542" t="s">
        <v>74</v>
      </c>
      <c r="AY542" t="s">
        <v>74</v>
      </c>
      <c r="AZ542" t="s">
        <v>74</v>
      </c>
      <c r="BA542" t="s">
        <v>74</v>
      </c>
      <c r="BB542">
        <v>889</v>
      </c>
      <c r="BC542">
        <v>902</v>
      </c>
      <c r="BD542" t="s">
        <v>74</v>
      </c>
      <c r="BE542" t="s">
        <v>7510</v>
      </c>
      <c r="BF542" t="str">
        <f>HYPERLINK("http://dx.doi.org/10.1046/j.1365-246x.1998.00605.x","http://dx.doi.org/10.1046/j.1365-246x.1998.00605.x")</f>
        <v>http://dx.doi.org/10.1046/j.1365-246x.1998.00605.x</v>
      </c>
      <c r="BG542" t="s">
        <v>74</v>
      </c>
      <c r="BH542" t="s">
        <v>74</v>
      </c>
      <c r="BI542">
        <v>14</v>
      </c>
      <c r="BJ542" t="s">
        <v>303</v>
      </c>
      <c r="BK542" t="s">
        <v>95</v>
      </c>
      <c r="BL542" t="s">
        <v>303</v>
      </c>
      <c r="BM542" t="s">
        <v>7502</v>
      </c>
      <c r="BN542" t="s">
        <v>74</v>
      </c>
      <c r="BO542" t="s">
        <v>1089</v>
      </c>
      <c r="BP542" t="s">
        <v>74</v>
      </c>
      <c r="BQ542" t="s">
        <v>74</v>
      </c>
      <c r="BR542" t="s">
        <v>98</v>
      </c>
      <c r="BS542" t="s">
        <v>7511</v>
      </c>
      <c r="BT542" t="str">
        <f>HYPERLINK("https%3A%2F%2Fwww.webofscience.com%2Fwos%2Fwoscc%2Ffull-record%2FWOS:000075796900020","View Full Record in Web of Science")</f>
        <v>View Full Record in Web of Science</v>
      </c>
    </row>
    <row r="543" spans="1:72" x14ac:dyDescent="0.15">
      <c r="A543" t="s">
        <v>72</v>
      </c>
      <c r="B543" t="s">
        <v>7512</v>
      </c>
      <c r="C543" t="s">
        <v>74</v>
      </c>
      <c r="D543" t="s">
        <v>74</v>
      </c>
      <c r="E543" t="s">
        <v>74</v>
      </c>
      <c r="F543" t="s">
        <v>7512</v>
      </c>
      <c r="G543" t="s">
        <v>74</v>
      </c>
      <c r="H543" t="s">
        <v>74</v>
      </c>
      <c r="I543" t="s">
        <v>7513</v>
      </c>
      <c r="J543" t="s">
        <v>958</v>
      </c>
      <c r="K543" t="s">
        <v>74</v>
      </c>
      <c r="L543" t="s">
        <v>74</v>
      </c>
      <c r="M543" t="s">
        <v>77</v>
      </c>
      <c r="N543" t="s">
        <v>103</v>
      </c>
      <c r="O543" t="s">
        <v>74</v>
      </c>
      <c r="P543" t="s">
        <v>74</v>
      </c>
      <c r="Q543" t="s">
        <v>74</v>
      </c>
      <c r="R543" t="s">
        <v>74</v>
      </c>
      <c r="S543" t="s">
        <v>74</v>
      </c>
      <c r="T543" t="s">
        <v>74</v>
      </c>
      <c r="U543" t="s">
        <v>7514</v>
      </c>
      <c r="V543" t="s">
        <v>7515</v>
      </c>
      <c r="W543" t="s">
        <v>7516</v>
      </c>
      <c r="X543" t="s">
        <v>7517</v>
      </c>
      <c r="Y543" t="s">
        <v>7518</v>
      </c>
      <c r="Z543" t="s">
        <v>7519</v>
      </c>
      <c r="AA543" t="s">
        <v>7520</v>
      </c>
      <c r="AB543" t="s">
        <v>74</v>
      </c>
      <c r="AC543" t="s">
        <v>74</v>
      </c>
      <c r="AD543" t="s">
        <v>74</v>
      </c>
      <c r="AE543" t="s">
        <v>74</v>
      </c>
      <c r="AF543" t="s">
        <v>74</v>
      </c>
      <c r="AG543">
        <v>20</v>
      </c>
      <c r="AH543">
        <v>104</v>
      </c>
      <c r="AI543">
        <v>108</v>
      </c>
      <c r="AJ543">
        <v>3</v>
      </c>
      <c r="AK543">
        <v>17</v>
      </c>
      <c r="AL543" t="s">
        <v>966</v>
      </c>
      <c r="AM543" t="s">
        <v>967</v>
      </c>
      <c r="AN543" t="s">
        <v>968</v>
      </c>
      <c r="AO543" t="s">
        <v>969</v>
      </c>
      <c r="AP543" t="s">
        <v>5234</v>
      </c>
      <c r="AQ543" t="s">
        <v>74</v>
      </c>
      <c r="AR543" t="s">
        <v>970</v>
      </c>
      <c r="AS543" t="s">
        <v>971</v>
      </c>
      <c r="AT543" t="s">
        <v>7066</v>
      </c>
      <c r="AU543">
        <v>1998</v>
      </c>
      <c r="AV543">
        <v>25</v>
      </c>
      <c r="AW543">
        <v>17</v>
      </c>
      <c r="AX543" t="s">
        <v>74</v>
      </c>
      <c r="AY543" t="s">
        <v>74</v>
      </c>
      <c r="AZ543" t="s">
        <v>74</v>
      </c>
      <c r="BA543" t="s">
        <v>74</v>
      </c>
      <c r="BB543">
        <v>3343</v>
      </c>
      <c r="BC543">
        <v>3346</v>
      </c>
      <c r="BD543" t="s">
        <v>74</v>
      </c>
      <c r="BE543" t="s">
        <v>7521</v>
      </c>
      <c r="BF543" t="str">
        <f>HYPERLINK("http://dx.doi.org/10.1029/98GL02445","http://dx.doi.org/10.1029/98GL02445")</f>
        <v>http://dx.doi.org/10.1029/98GL02445</v>
      </c>
      <c r="BG543" t="s">
        <v>74</v>
      </c>
      <c r="BH543" t="s">
        <v>74</v>
      </c>
      <c r="BI543">
        <v>4</v>
      </c>
      <c r="BJ543" t="s">
        <v>192</v>
      </c>
      <c r="BK543" t="s">
        <v>95</v>
      </c>
      <c r="BL543" t="s">
        <v>193</v>
      </c>
      <c r="BM543" t="s">
        <v>7522</v>
      </c>
      <c r="BN543" t="s">
        <v>74</v>
      </c>
      <c r="BO543" t="s">
        <v>1089</v>
      </c>
      <c r="BP543" t="s">
        <v>74</v>
      </c>
      <c r="BQ543" t="s">
        <v>74</v>
      </c>
      <c r="BR543" t="s">
        <v>98</v>
      </c>
      <c r="BS543" t="s">
        <v>7523</v>
      </c>
      <c r="BT543" t="str">
        <f>HYPERLINK("https%3A%2F%2Fwww.webofscience.com%2Fwos%2Fwoscc%2Ffull-record%2FWOS:000075739800035","View Full Record in Web of Science")</f>
        <v>View Full Record in Web of Science</v>
      </c>
    </row>
    <row r="544" spans="1:72" x14ac:dyDescent="0.15">
      <c r="A544" t="s">
        <v>72</v>
      </c>
      <c r="B544" t="s">
        <v>7524</v>
      </c>
      <c r="C544" t="s">
        <v>74</v>
      </c>
      <c r="D544" t="s">
        <v>74</v>
      </c>
      <c r="E544" t="s">
        <v>74</v>
      </c>
      <c r="F544" t="s">
        <v>7524</v>
      </c>
      <c r="G544" t="s">
        <v>74</v>
      </c>
      <c r="H544" t="s">
        <v>74</v>
      </c>
      <c r="I544" t="s">
        <v>7525</v>
      </c>
      <c r="J544" t="s">
        <v>958</v>
      </c>
      <c r="K544" t="s">
        <v>74</v>
      </c>
      <c r="L544" t="s">
        <v>74</v>
      </c>
      <c r="M544" t="s">
        <v>77</v>
      </c>
      <c r="N544" t="s">
        <v>103</v>
      </c>
      <c r="O544" t="s">
        <v>74</v>
      </c>
      <c r="P544" t="s">
        <v>74</v>
      </c>
      <c r="Q544" t="s">
        <v>74</v>
      </c>
      <c r="R544" t="s">
        <v>74</v>
      </c>
      <c r="S544" t="s">
        <v>74</v>
      </c>
      <c r="T544" t="s">
        <v>74</v>
      </c>
      <c r="U544" t="s">
        <v>7526</v>
      </c>
      <c r="V544" t="s">
        <v>7527</v>
      </c>
      <c r="W544" t="s">
        <v>7528</v>
      </c>
      <c r="X544" t="s">
        <v>7529</v>
      </c>
      <c r="Y544" t="s">
        <v>7530</v>
      </c>
      <c r="Z544" t="s">
        <v>74</v>
      </c>
      <c r="AA544" t="s">
        <v>7531</v>
      </c>
      <c r="AB544" t="s">
        <v>7532</v>
      </c>
      <c r="AC544" t="s">
        <v>74</v>
      </c>
      <c r="AD544" t="s">
        <v>74</v>
      </c>
      <c r="AE544" t="s">
        <v>74</v>
      </c>
      <c r="AF544" t="s">
        <v>74</v>
      </c>
      <c r="AG544">
        <v>24</v>
      </c>
      <c r="AH544">
        <v>52</v>
      </c>
      <c r="AI544">
        <v>63</v>
      </c>
      <c r="AJ544">
        <v>0</v>
      </c>
      <c r="AK544">
        <v>6</v>
      </c>
      <c r="AL544" t="s">
        <v>966</v>
      </c>
      <c r="AM544" t="s">
        <v>967</v>
      </c>
      <c r="AN544" t="s">
        <v>968</v>
      </c>
      <c r="AO544" t="s">
        <v>969</v>
      </c>
      <c r="AP544" t="s">
        <v>74</v>
      </c>
      <c r="AQ544" t="s">
        <v>74</v>
      </c>
      <c r="AR544" t="s">
        <v>970</v>
      </c>
      <c r="AS544" t="s">
        <v>971</v>
      </c>
      <c r="AT544" t="s">
        <v>7066</v>
      </c>
      <c r="AU544">
        <v>1998</v>
      </c>
      <c r="AV544">
        <v>25</v>
      </c>
      <c r="AW544">
        <v>17</v>
      </c>
      <c r="AX544" t="s">
        <v>74</v>
      </c>
      <c r="AY544" t="s">
        <v>74</v>
      </c>
      <c r="AZ544" t="s">
        <v>74</v>
      </c>
      <c r="BA544" t="s">
        <v>74</v>
      </c>
      <c r="BB544">
        <v>3383</v>
      </c>
      <c r="BC544">
        <v>3386</v>
      </c>
      <c r="BD544" t="s">
        <v>74</v>
      </c>
      <c r="BE544" t="s">
        <v>7533</v>
      </c>
      <c r="BF544" t="str">
        <f>HYPERLINK("http://dx.doi.org/10.1029/98GL52486","http://dx.doi.org/10.1029/98GL52486")</f>
        <v>http://dx.doi.org/10.1029/98GL52486</v>
      </c>
      <c r="BG544" t="s">
        <v>74</v>
      </c>
      <c r="BH544" t="s">
        <v>74</v>
      </c>
      <c r="BI544">
        <v>4</v>
      </c>
      <c r="BJ544" t="s">
        <v>192</v>
      </c>
      <c r="BK544" t="s">
        <v>95</v>
      </c>
      <c r="BL544" t="s">
        <v>193</v>
      </c>
      <c r="BM544" t="s">
        <v>7522</v>
      </c>
      <c r="BN544" t="s">
        <v>74</v>
      </c>
      <c r="BO544" t="s">
        <v>1089</v>
      </c>
      <c r="BP544" t="s">
        <v>74</v>
      </c>
      <c r="BQ544" t="s">
        <v>74</v>
      </c>
      <c r="BR544" t="s">
        <v>98</v>
      </c>
      <c r="BS544" t="s">
        <v>7534</v>
      </c>
      <c r="BT544" t="str">
        <f>HYPERLINK("https%3A%2F%2Fwww.webofscience.com%2Fwos%2Fwoscc%2Ffull-record%2FWOS:000075739800045","View Full Record in Web of Science")</f>
        <v>View Full Record in Web of Science</v>
      </c>
    </row>
    <row r="545" spans="1:72" x14ac:dyDescent="0.15">
      <c r="A545" t="s">
        <v>72</v>
      </c>
      <c r="B545" t="s">
        <v>7535</v>
      </c>
      <c r="C545" t="s">
        <v>74</v>
      </c>
      <c r="D545" t="s">
        <v>74</v>
      </c>
      <c r="E545" t="s">
        <v>74</v>
      </c>
      <c r="F545" t="s">
        <v>7535</v>
      </c>
      <c r="G545" t="s">
        <v>74</v>
      </c>
      <c r="H545" t="s">
        <v>74</v>
      </c>
      <c r="I545" t="s">
        <v>7536</v>
      </c>
      <c r="J545" t="s">
        <v>7537</v>
      </c>
      <c r="K545" t="s">
        <v>74</v>
      </c>
      <c r="L545" t="s">
        <v>74</v>
      </c>
      <c r="M545" t="s">
        <v>77</v>
      </c>
      <c r="N545" t="s">
        <v>103</v>
      </c>
      <c r="O545" t="s">
        <v>74</v>
      </c>
      <c r="P545" t="s">
        <v>74</v>
      </c>
      <c r="Q545" t="s">
        <v>74</v>
      </c>
      <c r="R545" t="s">
        <v>74</v>
      </c>
      <c r="S545" t="s">
        <v>74</v>
      </c>
      <c r="T545" t="s">
        <v>74</v>
      </c>
      <c r="U545" t="s">
        <v>7538</v>
      </c>
      <c r="V545" t="s">
        <v>7539</v>
      </c>
      <c r="W545" t="s">
        <v>7540</v>
      </c>
      <c r="X545" t="s">
        <v>7541</v>
      </c>
      <c r="Y545" t="s">
        <v>7542</v>
      </c>
      <c r="Z545" t="s">
        <v>7543</v>
      </c>
      <c r="AA545" t="s">
        <v>74</v>
      </c>
      <c r="AB545" t="s">
        <v>7544</v>
      </c>
      <c r="AC545" t="s">
        <v>74</v>
      </c>
      <c r="AD545" t="s">
        <v>74</v>
      </c>
      <c r="AE545" t="s">
        <v>74</v>
      </c>
      <c r="AF545" t="s">
        <v>74</v>
      </c>
      <c r="AG545">
        <v>20</v>
      </c>
      <c r="AH545">
        <v>62</v>
      </c>
      <c r="AI545">
        <v>71</v>
      </c>
      <c r="AJ545">
        <v>1</v>
      </c>
      <c r="AK545">
        <v>6</v>
      </c>
      <c r="AL545" t="s">
        <v>6376</v>
      </c>
      <c r="AM545" t="s">
        <v>278</v>
      </c>
      <c r="AN545" t="s">
        <v>6377</v>
      </c>
      <c r="AO545" t="s">
        <v>7545</v>
      </c>
      <c r="AP545" t="s">
        <v>74</v>
      </c>
      <c r="AQ545" t="s">
        <v>74</v>
      </c>
      <c r="AR545" t="s">
        <v>7546</v>
      </c>
      <c r="AS545" t="s">
        <v>7547</v>
      </c>
      <c r="AT545" t="s">
        <v>7083</v>
      </c>
      <c r="AU545">
        <v>1998</v>
      </c>
      <c r="AV545">
        <v>36</v>
      </c>
      <c r="AW545">
        <v>5</v>
      </c>
      <c r="AX545">
        <v>2</v>
      </c>
      <c r="AY545" t="s">
        <v>74</v>
      </c>
      <c r="AZ545" t="s">
        <v>74</v>
      </c>
      <c r="BA545" t="s">
        <v>74</v>
      </c>
      <c r="BB545">
        <v>1750</v>
      </c>
      <c r="BC545">
        <v>1763</v>
      </c>
      <c r="BD545" t="s">
        <v>74</v>
      </c>
      <c r="BE545" t="s">
        <v>7548</v>
      </c>
      <c r="BF545" t="str">
        <f>HYPERLINK("http://dx.doi.org/10.1109/36.718643","http://dx.doi.org/10.1109/36.718643")</f>
        <v>http://dx.doi.org/10.1109/36.718643</v>
      </c>
      <c r="BG545" t="s">
        <v>74</v>
      </c>
      <c r="BH545" t="s">
        <v>74</v>
      </c>
      <c r="BI545">
        <v>14</v>
      </c>
      <c r="BJ545" t="s">
        <v>7549</v>
      </c>
      <c r="BK545" t="s">
        <v>95</v>
      </c>
      <c r="BL545" t="s">
        <v>7550</v>
      </c>
      <c r="BM545" t="s">
        <v>7551</v>
      </c>
      <c r="BN545" t="s">
        <v>74</v>
      </c>
      <c r="BO545" t="s">
        <v>74</v>
      </c>
      <c r="BP545" t="s">
        <v>74</v>
      </c>
      <c r="BQ545" t="s">
        <v>74</v>
      </c>
      <c r="BR545" t="s">
        <v>98</v>
      </c>
      <c r="BS545" t="s">
        <v>7552</v>
      </c>
      <c r="BT545" t="str">
        <f>HYPERLINK("https%3A%2F%2Fwww.webofscience.com%2Fwos%2Fwoscc%2Ffull-record%2FWOS:000076046300010","View Full Record in Web of Science")</f>
        <v>View Full Record in Web of Science</v>
      </c>
    </row>
    <row r="546" spans="1:72" x14ac:dyDescent="0.15">
      <c r="A546" t="s">
        <v>72</v>
      </c>
      <c r="B546" t="s">
        <v>7553</v>
      </c>
      <c r="C546" t="s">
        <v>74</v>
      </c>
      <c r="D546" t="s">
        <v>74</v>
      </c>
      <c r="E546" t="s">
        <v>74</v>
      </c>
      <c r="F546" t="s">
        <v>7553</v>
      </c>
      <c r="G546" t="s">
        <v>74</v>
      </c>
      <c r="H546" t="s">
        <v>74</v>
      </c>
      <c r="I546" t="s">
        <v>7554</v>
      </c>
      <c r="J546" t="s">
        <v>7555</v>
      </c>
      <c r="K546" t="s">
        <v>74</v>
      </c>
      <c r="L546" t="s">
        <v>74</v>
      </c>
      <c r="M546" t="s">
        <v>77</v>
      </c>
      <c r="N546" t="s">
        <v>103</v>
      </c>
      <c r="O546" t="s">
        <v>74</v>
      </c>
      <c r="P546" t="s">
        <v>74</v>
      </c>
      <c r="Q546" t="s">
        <v>74</v>
      </c>
      <c r="R546" t="s">
        <v>74</v>
      </c>
      <c r="S546" t="s">
        <v>74</v>
      </c>
      <c r="T546" t="s">
        <v>7556</v>
      </c>
      <c r="U546" t="s">
        <v>7557</v>
      </c>
      <c r="V546" t="s">
        <v>7558</v>
      </c>
      <c r="W546" t="s">
        <v>7559</v>
      </c>
      <c r="X546" t="s">
        <v>7560</v>
      </c>
      <c r="Y546" t="s">
        <v>7561</v>
      </c>
      <c r="Z546" t="s">
        <v>74</v>
      </c>
      <c r="AA546" t="s">
        <v>74</v>
      </c>
      <c r="AB546" t="s">
        <v>7562</v>
      </c>
      <c r="AC546" t="s">
        <v>74</v>
      </c>
      <c r="AD546" t="s">
        <v>74</v>
      </c>
      <c r="AE546" t="s">
        <v>74</v>
      </c>
      <c r="AF546" t="s">
        <v>74</v>
      </c>
      <c r="AG546">
        <v>36</v>
      </c>
      <c r="AH546">
        <v>16</v>
      </c>
      <c r="AI546">
        <v>16</v>
      </c>
      <c r="AJ546">
        <v>0</v>
      </c>
      <c r="AK546">
        <v>4</v>
      </c>
      <c r="AL546" t="s">
        <v>7563</v>
      </c>
      <c r="AM546" t="s">
        <v>7564</v>
      </c>
      <c r="AN546" t="s">
        <v>7565</v>
      </c>
      <c r="AO546" t="s">
        <v>7566</v>
      </c>
      <c r="AP546" t="s">
        <v>74</v>
      </c>
      <c r="AQ546" t="s">
        <v>74</v>
      </c>
      <c r="AR546" t="s">
        <v>7567</v>
      </c>
      <c r="AS546" t="s">
        <v>7568</v>
      </c>
      <c r="AT546" t="s">
        <v>7083</v>
      </c>
      <c r="AU546">
        <v>1998</v>
      </c>
      <c r="AV546">
        <v>18</v>
      </c>
      <c r="AW546">
        <v>11</v>
      </c>
      <c r="AX546" t="s">
        <v>74</v>
      </c>
      <c r="AY546" t="s">
        <v>74</v>
      </c>
      <c r="AZ546" t="s">
        <v>74</v>
      </c>
      <c r="BA546" t="s">
        <v>74</v>
      </c>
      <c r="BB546">
        <v>1181</v>
      </c>
      <c r="BC546">
        <v>1193</v>
      </c>
      <c r="BD546" t="s">
        <v>74</v>
      </c>
      <c r="BE546" t="s">
        <v>7569</v>
      </c>
      <c r="BF546" t="str">
        <f>HYPERLINK("http://dx.doi.org/10.1002/(SICI)1097-0088(199809)18:11&lt;1181::AID-JOC332&gt;3.3.CO;2-O","http://dx.doi.org/10.1002/(SICI)1097-0088(199809)18:11&lt;1181::AID-JOC332&gt;3.3.CO;2-O")</f>
        <v>http://dx.doi.org/10.1002/(SICI)1097-0088(199809)18:11&lt;1181::AID-JOC332&gt;3.3.CO;2-O</v>
      </c>
      <c r="BG546" t="s">
        <v>74</v>
      </c>
      <c r="BH546" t="s">
        <v>74</v>
      </c>
      <c r="BI546">
        <v>13</v>
      </c>
      <c r="BJ546" t="s">
        <v>1418</v>
      </c>
      <c r="BK546" t="s">
        <v>95</v>
      </c>
      <c r="BL546" t="s">
        <v>1418</v>
      </c>
      <c r="BM546" t="s">
        <v>7570</v>
      </c>
      <c r="BN546" t="s">
        <v>74</v>
      </c>
      <c r="BO546" t="s">
        <v>74</v>
      </c>
      <c r="BP546" t="s">
        <v>74</v>
      </c>
      <c r="BQ546" t="s">
        <v>74</v>
      </c>
      <c r="BR546" t="s">
        <v>98</v>
      </c>
      <c r="BS546" t="s">
        <v>7571</v>
      </c>
      <c r="BT546" t="str">
        <f>HYPERLINK("https%3A%2F%2Fwww.webofscience.com%2Fwos%2Fwoscc%2Ffull-record%2FWOS:000076097500002","View Full Record in Web of Science")</f>
        <v>View Full Record in Web of Science</v>
      </c>
    </row>
    <row r="547" spans="1:72" x14ac:dyDescent="0.15">
      <c r="A547" t="s">
        <v>72</v>
      </c>
      <c r="B547" t="s">
        <v>7572</v>
      </c>
      <c r="C547" t="s">
        <v>74</v>
      </c>
      <c r="D547" t="s">
        <v>74</v>
      </c>
      <c r="E547" t="s">
        <v>74</v>
      </c>
      <c r="F547" t="s">
        <v>7572</v>
      </c>
      <c r="G547" t="s">
        <v>74</v>
      </c>
      <c r="H547" t="s">
        <v>74</v>
      </c>
      <c r="I547" t="s">
        <v>7573</v>
      </c>
      <c r="J547" t="s">
        <v>7574</v>
      </c>
      <c r="K547" t="s">
        <v>74</v>
      </c>
      <c r="L547" t="s">
        <v>74</v>
      </c>
      <c r="M547" t="s">
        <v>77</v>
      </c>
      <c r="N547" t="s">
        <v>103</v>
      </c>
      <c r="O547" t="s">
        <v>74</v>
      </c>
      <c r="P547" t="s">
        <v>74</v>
      </c>
      <c r="Q547" t="s">
        <v>74</v>
      </c>
      <c r="R547" t="s">
        <v>74</v>
      </c>
      <c r="S547" t="s">
        <v>74</v>
      </c>
      <c r="T547" t="s">
        <v>7575</v>
      </c>
      <c r="U547" t="s">
        <v>7576</v>
      </c>
      <c r="V547" t="s">
        <v>7577</v>
      </c>
      <c r="W547" t="s">
        <v>7578</v>
      </c>
      <c r="X547" t="s">
        <v>7579</v>
      </c>
      <c r="Y547" t="s">
        <v>7580</v>
      </c>
      <c r="Z547" t="s">
        <v>74</v>
      </c>
      <c r="AA547" t="s">
        <v>74</v>
      </c>
      <c r="AB547" t="s">
        <v>74</v>
      </c>
      <c r="AC547" t="s">
        <v>74</v>
      </c>
      <c r="AD547" t="s">
        <v>74</v>
      </c>
      <c r="AE547" t="s">
        <v>74</v>
      </c>
      <c r="AF547" t="s">
        <v>74</v>
      </c>
      <c r="AG547">
        <v>45</v>
      </c>
      <c r="AH547">
        <v>32</v>
      </c>
      <c r="AI547">
        <v>41</v>
      </c>
      <c r="AJ547">
        <v>0</v>
      </c>
      <c r="AK547">
        <v>5</v>
      </c>
      <c r="AL547" t="s">
        <v>7581</v>
      </c>
      <c r="AM547" t="s">
        <v>7582</v>
      </c>
      <c r="AN547" t="s">
        <v>7583</v>
      </c>
      <c r="AO547" t="s">
        <v>7584</v>
      </c>
      <c r="AP547" t="s">
        <v>74</v>
      </c>
      <c r="AQ547" t="s">
        <v>74</v>
      </c>
      <c r="AR547" t="s">
        <v>7585</v>
      </c>
      <c r="AS547" t="s">
        <v>7586</v>
      </c>
      <c r="AT547" t="s">
        <v>7083</v>
      </c>
      <c r="AU547">
        <v>1998</v>
      </c>
      <c r="AV547">
        <v>7</v>
      </c>
      <c r="AW547">
        <v>3</v>
      </c>
      <c r="AX547" t="s">
        <v>74</v>
      </c>
      <c r="AY547" t="s">
        <v>74</v>
      </c>
      <c r="AZ547" t="s">
        <v>74</v>
      </c>
      <c r="BA547" t="s">
        <v>74</v>
      </c>
      <c r="BB547">
        <v>315</v>
      </c>
      <c r="BC547">
        <v>329</v>
      </c>
      <c r="BD547" t="s">
        <v>74</v>
      </c>
      <c r="BE547" t="s">
        <v>7587</v>
      </c>
      <c r="BF547" t="str">
        <f>HYPERLINK("http://dx.doi.org/10.1111/j.1440-1738.1998.00192.x","http://dx.doi.org/10.1111/j.1440-1738.1998.00192.x")</f>
        <v>http://dx.doi.org/10.1111/j.1440-1738.1998.00192.x</v>
      </c>
      <c r="BG547" t="s">
        <v>74</v>
      </c>
      <c r="BH547" t="s">
        <v>74</v>
      </c>
      <c r="BI547">
        <v>15</v>
      </c>
      <c r="BJ547" t="s">
        <v>192</v>
      </c>
      <c r="BK547" t="s">
        <v>95</v>
      </c>
      <c r="BL547" t="s">
        <v>193</v>
      </c>
      <c r="BM547" t="s">
        <v>7588</v>
      </c>
      <c r="BN547" t="s">
        <v>74</v>
      </c>
      <c r="BO547" t="s">
        <v>74</v>
      </c>
      <c r="BP547" t="s">
        <v>74</v>
      </c>
      <c r="BQ547" t="s">
        <v>74</v>
      </c>
      <c r="BR547" t="s">
        <v>98</v>
      </c>
      <c r="BS547" t="s">
        <v>7589</v>
      </c>
      <c r="BT547" t="str">
        <f>HYPERLINK("https%3A%2F%2Fwww.webofscience.com%2Fwos%2Fwoscc%2Ffull-record%2FWOS:000076058200003","View Full Record in Web of Science")</f>
        <v>View Full Record in Web of Science</v>
      </c>
    </row>
    <row r="548" spans="1:72" x14ac:dyDescent="0.15">
      <c r="A548" t="s">
        <v>72</v>
      </c>
      <c r="B548" t="s">
        <v>7590</v>
      </c>
      <c r="C548" t="s">
        <v>74</v>
      </c>
      <c r="D548" t="s">
        <v>74</v>
      </c>
      <c r="E548" t="s">
        <v>74</v>
      </c>
      <c r="F548" t="s">
        <v>7590</v>
      </c>
      <c r="G548" t="s">
        <v>74</v>
      </c>
      <c r="H548" t="s">
        <v>74</v>
      </c>
      <c r="I548" t="s">
        <v>7591</v>
      </c>
      <c r="J548" t="s">
        <v>7592</v>
      </c>
      <c r="K548" t="s">
        <v>74</v>
      </c>
      <c r="L548" t="s">
        <v>74</v>
      </c>
      <c r="M548" t="s">
        <v>2510</v>
      </c>
      <c r="N548" t="s">
        <v>103</v>
      </c>
      <c r="O548" t="s">
        <v>74</v>
      </c>
      <c r="P548" t="s">
        <v>74</v>
      </c>
      <c r="Q548" t="s">
        <v>74</v>
      </c>
      <c r="R548" t="s">
        <v>74</v>
      </c>
      <c r="S548" t="s">
        <v>74</v>
      </c>
      <c r="T548" t="s">
        <v>74</v>
      </c>
      <c r="U548" t="s">
        <v>7593</v>
      </c>
      <c r="V548" t="s">
        <v>7594</v>
      </c>
      <c r="W548" t="s">
        <v>7595</v>
      </c>
      <c r="X548" t="s">
        <v>7596</v>
      </c>
      <c r="Y548" t="s">
        <v>7597</v>
      </c>
      <c r="Z548" t="s">
        <v>74</v>
      </c>
      <c r="AA548" t="s">
        <v>7598</v>
      </c>
      <c r="AB548" t="s">
        <v>74</v>
      </c>
      <c r="AC548" t="s">
        <v>74</v>
      </c>
      <c r="AD548" t="s">
        <v>74</v>
      </c>
      <c r="AE548" t="s">
        <v>74</v>
      </c>
      <c r="AF548" t="s">
        <v>74</v>
      </c>
      <c r="AG548">
        <v>27</v>
      </c>
      <c r="AH548">
        <v>3</v>
      </c>
      <c r="AI548">
        <v>3</v>
      </c>
      <c r="AJ548">
        <v>0</v>
      </c>
      <c r="AK548">
        <v>3</v>
      </c>
      <c r="AL548" t="s">
        <v>2517</v>
      </c>
      <c r="AM548" t="s">
        <v>2518</v>
      </c>
      <c r="AN548" t="s">
        <v>2519</v>
      </c>
      <c r="AO548" t="s">
        <v>7599</v>
      </c>
      <c r="AP548" t="s">
        <v>74</v>
      </c>
      <c r="AQ548" t="s">
        <v>74</v>
      </c>
      <c r="AR548" t="s">
        <v>7600</v>
      </c>
      <c r="AS548" t="s">
        <v>7601</v>
      </c>
      <c r="AT548" t="s">
        <v>7468</v>
      </c>
      <c r="AU548">
        <v>1998</v>
      </c>
      <c r="AV548">
        <v>34</v>
      </c>
      <c r="AW548">
        <v>5</v>
      </c>
      <c r="AX548" t="s">
        <v>74</v>
      </c>
      <c r="AY548" t="s">
        <v>74</v>
      </c>
      <c r="AZ548" t="s">
        <v>74</v>
      </c>
      <c r="BA548" t="s">
        <v>74</v>
      </c>
      <c r="BB548">
        <v>702</v>
      </c>
      <c r="BC548">
        <v>712</v>
      </c>
      <c r="BD548" t="s">
        <v>74</v>
      </c>
      <c r="BE548" t="s">
        <v>74</v>
      </c>
      <c r="BF548" t="s">
        <v>74</v>
      </c>
      <c r="BG548" t="s">
        <v>74</v>
      </c>
      <c r="BH548" t="s">
        <v>74</v>
      </c>
      <c r="BI548">
        <v>11</v>
      </c>
      <c r="BJ548" t="s">
        <v>3494</v>
      </c>
      <c r="BK548" t="s">
        <v>95</v>
      </c>
      <c r="BL548" t="s">
        <v>3494</v>
      </c>
      <c r="BM548" t="s">
        <v>7602</v>
      </c>
      <c r="BN548" t="s">
        <v>74</v>
      </c>
      <c r="BO548" t="s">
        <v>74</v>
      </c>
      <c r="BP548" t="s">
        <v>74</v>
      </c>
      <c r="BQ548" t="s">
        <v>74</v>
      </c>
      <c r="BR548" t="s">
        <v>98</v>
      </c>
      <c r="BS548" t="s">
        <v>7603</v>
      </c>
      <c r="BT548" t="str">
        <f>HYPERLINK("https%3A%2F%2Fwww.webofscience.com%2Fwos%2Fwoscc%2Ffull-record%2FWOS:000076894700013","View Full Record in Web of Science")</f>
        <v>View Full Record in Web of Science</v>
      </c>
    </row>
    <row r="549" spans="1:72" x14ac:dyDescent="0.15">
      <c r="A549" t="s">
        <v>72</v>
      </c>
      <c r="B549" t="s">
        <v>7604</v>
      </c>
      <c r="C549" t="s">
        <v>74</v>
      </c>
      <c r="D549" t="s">
        <v>74</v>
      </c>
      <c r="E549" t="s">
        <v>74</v>
      </c>
      <c r="F549" t="s">
        <v>7604</v>
      </c>
      <c r="G549" t="s">
        <v>74</v>
      </c>
      <c r="H549" t="s">
        <v>74</v>
      </c>
      <c r="I549" t="s">
        <v>7605</v>
      </c>
      <c r="J549" t="s">
        <v>7606</v>
      </c>
      <c r="K549" t="s">
        <v>74</v>
      </c>
      <c r="L549" t="s">
        <v>74</v>
      </c>
      <c r="M549" t="s">
        <v>2510</v>
      </c>
      <c r="N549" t="s">
        <v>103</v>
      </c>
      <c r="O549" t="s">
        <v>74</v>
      </c>
      <c r="P549" t="s">
        <v>74</v>
      </c>
      <c r="Q549" t="s">
        <v>74</v>
      </c>
      <c r="R549" t="s">
        <v>74</v>
      </c>
      <c r="S549" t="s">
        <v>74</v>
      </c>
      <c r="T549" t="s">
        <v>74</v>
      </c>
      <c r="U549" t="s">
        <v>7607</v>
      </c>
      <c r="V549" t="s">
        <v>7608</v>
      </c>
      <c r="W549" t="s">
        <v>7609</v>
      </c>
      <c r="X549" t="s">
        <v>7610</v>
      </c>
      <c r="Y549" t="s">
        <v>7611</v>
      </c>
      <c r="Z549" t="s">
        <v>74</v>
      </c>
      <c r="AA549" t="s">
        <v>1764</v>
      </c>
      <c r="AB549" t="s">
        <v>1765</v>
      </c>
      <c r="AC549" t="s">
        <v>74</v>
      </c>
      <c r="AD549" t="s">
        <v>74</v>
      </c>
      <c r="AE549" t="s">
        <v>74</v>
      </c>
      <c r="AF549" t="s">
        <v>74</v>
      </c>
      <c r="AG549">
        <v>30</v>
      </c>
      <c r="AH549">
        <v>3</v>
      </c>
      <c r="AI549">
        <v>3</v>
      </c>
      <c r="AJ549">
        <v>1</v>
      </c>
      <c r="AK549">
        <v>3</v>
      </c>
      <c r="AL549" t="s">
        <v>2517</v>
      </c>
      <c r="AM549" t="s">
        <v>2518</v>
      </c>
      <c r="AN549" t="s">
        <v>2519</v>
      </c>
      <c r="AO549" t="s">
        <v>7612</v>
      </c>
      <c r="AP549" t="s">
        <v>74</v>
      </c>
      <c r="AQ549" t="s">
        <v>74</v>
      </c>
      <c r="AR549" t="s">
        <v>7613</v>
      </c>
      <c r="AS549" t="s">
        <v>7614</v>
      </c>
      <c r="AT549" t="s">
        <v>7468</v>
      </c>
      <c r="AU549">
        <v>1998</v>
      </c>
      <c r="AV549" t="s">
        <v>74</v>
      </c>
      <c r="AW549">
        <v>5</v>
      </c>
      <c r="AX549" t="s">
        <v>74</v>
      </c>
      <c r="AY549" t="s">
        <v>74</v>
      </c>
      <c r="AZ549" t="s">
        <v>74</v>
      </c>
      <c r="BA549" t="s">
        <v>74</v>
      </c>
      <c r="BB549">
        <v>610</v>
      </c>
      <c r="BC549">
        <v>616</v>
      </c>
      <c r="BD549" t="s">
        <v>74</v>
      </c>
      <c r="BE549" t="s">
        <v>74</v>
      </c>
      <c r="BF549" t="s">
        <v>74</v>
      </c>
      <c r="BG549" t="s">
        <v>74</v>
      </c>
      <c r="BH549" t="s">
        <v>74</v>
      </c>
      <c r="BI549">
        <v>7</v>
      </c>
      <c r="BJ549" t="s">
        <v>6479</v>
      </c>
      <c r="BK549" t="s">
        <v>95</v>
      </c>
      <c r="BL549" t="s">
        <v>6480</v>
      </c>
      <c r="BM549" t="s">
        <v>7615</v>
      </c>
      <c r="BN549" t="s">
        <v>74</v>
      </c>
      <c r="BO549" t="s">
        <v>74</v>
      </c>
      <c r="BP549" t="s">
        <v>74</v>
      </c>
      <c r="BQ549" t="s">
        <v>74</v>
      </c>
      <c r="BR549" t="s">
        <v>98</v>
      </c>
      <c r="BS549" t="s">
        <v>7616</v>
      </c>
      <c r="BT549" t="str">
        <f>HYPERLINK("https%3A%2F%2Fwww.webofscience.com%2Fwos%2Fwoscc%2Ffull-record%2FWOS:000076910500009","View Full Record in Web of Science")</f>
        <v>View Full Record in Web of Science</v>
      </c>
    </row>
    <row r="550" spans="1:72" x14ac:dyDescent="0.15">
      <c r="A550" t="s">
        <v>72</v>
      </c>
      <c r="B550" t="s">
        <v>7617</v>
      </c>
      <c r="C550" t="s">
        <v>74</v>
      </c>
      <c r="D550" t="s">
        <v>74</v>
      </c>
      <c r="E550" t="s">
        <v>74</v>
      </c>
      <c r="F550" t="s">
        <v>7617</v>
      </c>
      <c r="G550" t="s">
        <v>74</v>
      </c>
      <c r="H550" t="s">
        <v>74</v>
      </c>
      <c r="I550" t="s">
        <v>7618</v>
      </c>
      <c r="J550" t="s">
        <v>1317</v>
      </c>
      <c r="K550" t="s">
        <v>74</v>
      </c>
      <c r="L550" t="s">
        <v>74</v>
      </c>
      <c r="M550" t="s">
        <v>77</v>
      </c>
      <c r="N550" t="s">
        <v>103</v>
      </c>
      <c r="O550" t="s">
        <v>74</v>
      </c>
      <c r="P550" t="s">
        <v>74</v>
      </c>
      <c r="Q550" t="s">
        <v>74</v>
      </c>
      <c r="R550" t="s">
        <v>74</v>
      </c>
      <c r="S550" t="s">
        <v>74</v>
      </c>
      <c r="T550" t="s">
        <v>7619</v>
      </c>
      <c r="U550" t="s">
        <v>7620</v>
      </c>
      <c r="V550" t="s">
        <v>7621</v>
      </c>
      <c r="W550" t="s">
        <v>7622</v>
      </c>
      <c r="X550" t="s">
        <v>7623</v>
      </c>
      <c r="Y550" t="s">
        <v>7624</v>
      </c>
      <c r="Z550" t="s">
        <v>74</v>
      </c>
      <c r="AA550" t="s">
        <v>74</v>
      </c>
      <c r="AB550" t="s">
        <v>74</v>
      </c>
      <c r="AC550" t="s">
        <v>74</v>
      </c>
      <c r="AD550" t="s">
        <v>74</v>
      </c>
      <c r="AE550" t="s">
        <v>74</v>
      </c>
      <c r="AF550" t="s">
        <v>74</v>
      </c>
      <c r="AG550">
        <v>40</v>
      </c>
      <c r="AH550">
        <v>62</v>
      </c>
      <c r="AI550">
        <v>68</v>
      </c>
      <c r="AJ550">
        <v>2</v>
      </c>
      <c r="AK550">
        <v>22</v>
      </c>
      <c r="AL550" t="s">
        <v>655</v>
      </c>
      <c r="AM550" t="s">
        <v>656</v>
      </c>
      <c r="AN550" t="s">
        <v>657</v>
      </c>
      <c r="AO550" t="s">
        <v>1327</v>
      </c>
      <c r="AP550" t="s">
        <v>1328</v>
      </c>
      <c r="AQ550" t="s">
        <v>74</v>
      </c>
      <c r="AR550" t="s">
        <v>1329</v>
      </c>
      <c r="AS550" t="s">
        <v>1330</v>
      </c>
      <c r="AT550" t="s">
        <v>7083</v>
      </c>
      <c r="AU550">
        <v>1998</v>
      </c>
      <c r="AV550">
        <v>67</v>
      </c>
      <c r="AW550">
        <v>5</v>
      </c>
      <c r="AX550" t="s">
        <v>74</v>
      </c>
      <c r="AY550" t="s">
        <v>74</v>
      </c>
      <c r="AZ550" t="s">
        <v>74</v>
      </c>
      <c r="BA550" t="s">
        <v>74</v>
      </c>
      <c r="BB550">
        <v>699</v>
      </c>
      <c r="BC550">
        <v>704</v>
      </c>
      <c r="BD550" t="s">
        <v>74</v>
      </c>
      <c r="BE550" t="s">
        <v>7625</v>
      </c>
      <c r="BF550" t="str">
        <f>HYPERLINK("http://dx.doi.org/10.1046/j.1365-2656.1998.00234.x","http://dx.doi.org/10.1046/j.1365-2656.1998.00234.x")</f>
        <v>http://dx.doi.org/10.1046/j.1365-2656.1998.00234.x</v>
      </c>
      <c r="BG550" t="s">
        <v>74</v>
      </c>
      <c r="BH550" t="s">
        <v>74</v>
      </c>
      <c r="BI550">
        <v>6</v>
      </c>
      <c r="BJ550" t="s">
        <v>1332</v>
      </c>
      <c r="BK550" t="s">
        <v>95</v>
      </c>
      <c r="BL550" t="s">
        <v>1333</v>
      </c>
      <c r="BM550" t="s">
        <v>7626</v>
      </c>
      <c r="BN550" t="s">
        <v>74</v>
      </c>
      <c r="BO550" t="s">
        <v>74</v>
      </c>
      <c r="BP550" t="s">
        <v>74</v>
      </c>
      <c r="BQ550" t="s">
        <v>74</v>
      </c>
      <c r="BR550" t="s">
        <v>98</v>
      </c>
      <c r="BS550" t="s">
        <v>7627</v>
      </c>
      <c r="BT550" t="str">
        <f>HYPERLINK("https%3A%2F%2Fwww.webofscience.com%2Fwos%2Fwoscc%2Ffull-record%2FWOS:000076100300003","View Full Record in Web of Science")</f>
        <v>View Full Record in Web of Science</v>
      </c>
    </row>
    <row r="551" spans="1:72" x14ac:dyDescent="0.15">
      <c r="A551" t="s">
        <v>72</v>
      </c>
      <c r="B551" t="s">
        <v>7628</v>
      </c>
      <c r="C551" t="s">
        <v>74</v>
      </c>
      <c r="D551" t="s">
        <v>74</v>
      </c>
      <c r="E551" t="s">
        <v>74</v>
      </c>
      <c r="F551" t="s">
        <v>7628</v>
      </c>
      <c r="G551" t="s">
        <v>74</v>
      </c>
      <c r="H551" t="s">
        <v>74</v>
      </c>
      <c r="I551" t="s">
        <v>7629</v>
      </c>
      <c r="J551" t="s">
        <v>7630</v>
      </c>
      <c r="K551" t="s">
        <v>74</v>
      </c>
      <c r="L551" t="s">
        <v>74</v>
      </c>
      <c r="M551" t="s">
        <v>77</v>
      </c>
      <c r="N551" t="s">
        <v>103</v>
      </c>
      <c r="O551" t="s">
        <v>74</v>
      </c>
      <c r="P551" t="s">
        <v>74</v>
      </c>
      <c r="Q551" t="s">
        <v>74</v>
      </c>
      <c r="R551" t="s">
        <v>74</v>
      </c>
      <c r="S551" t="s">
        <v>74</v>
      </c>
      <c r="T551" t="s">
        <v>7631</v>
      </c>
      <c r="U551" t="s">
        <v>7632</v>
      </c>
      <c r="V551" t="s">
        <v>7633</v>
      </c>
      <c r="W551" t="s">
        <v>7634</v>
      </c>
      <c r="X551" t="s">
        <v>7635</v>
      </c>
      <c r="Y551" t="s">
        <v>7636</v>
      </c>
      <c r="Z551" t="s">
        <v>74</v>
      </c>
      <c r="AA551" t="s">
        <v>7637</v>
      </c>
      <c r="AB551" t="s">
        <v>7638</v>
      </c>
      <c r="AC551" t="s">
        <v>74</v>
      </c>
      <c r="AD551" t="s">
        <v>74</v>
      </c>
      <c r="AE551" t="s">
        <v>74</v>
      </c>
      <c r="AF551" t="s">
        <v>74</v>
      </c>
      <c r="AG551">
        <v>35</v>
      </c>
      <c r="AH551">
        <v>51</v>
      </c>
      <c r="AI551">
        <v>58</v>
      </c>
      <c r="AJ551">
        <v>1</v>
      </c>
      <c r="AK551">
        <v>22</v>
      </c>
      <c r="AL551" t="s">
        <v>1037</v>
      </c>
      <c r="AM551" t="s">
        <v>1038</v>
      </c>
      <c r="AN551" t="s">
        <v>1039</v>
      </c>
      <c r="AO551" t="s">
        <v>7639</v>
      </c>
      <c r="AP551" t="s">
        <v>74</v>
      </c>
      <c r="AQ551" t="s">
        <v>74</v>
      </c>
      <c r="AR551" t="s">
        <v>7640</v>
      </c>
      <c r="AS551" t="s">
        <v>7641</v>
      </c>
      <c r="AT551" t="s">
        <v>7083</v>
      </c>
      <c r="AU551">
        <v>1998</v>
      </c>
      <c r="AV551">
        <v>193</v>
      </c>
      <c r="AW551" t="s">
        <v>412</v>
      </c>
      <c r="AX551" t="s">
        <v>74</v>
      </c>
      <c r="AY551" t="s">
        <v>74</v>
      </c>
      <c r="AZ551" t="s">
        <v>74</v>
      </c>
      <c r="BA551" t="s">
        <v>74</v>
      </c>
      <c r="BB551">
        <v>197</v>
      </c>
      <c r="BC551">
        <v>218</v>
      </c>
      <c r="BD551" t="s">
        <v>74</v>
      </c>
      <c r="BE551" t="s">
        <v>7642</v>
      </c>
      <c r="BF551" t="str">
        <f>HYPERLINK("http://dx.doi.org/10.1016/S0022-0248(98)00488-6","http://dx.doi.org/10.1016/S0022-0248(98)00488-6")</f>
        <v>http://dx.doi.org/10.1016/S0022-0248(98)00488-6</v>
      </c>
      <c r="BG551" t="s">
        <v>74</v>
      </c>
      <c r="BH551" t="s">
        <v>74</v>
      </c>
      <c r="BI551">
        <v>22</v>
      </c>
      <c r="BJ551" t="s">
        <v>7643</v>
      </c>
      <c r="BK551" t="s">
        <v>95</v>
      </c>
      <c r="BL551" t="s">
        <v>7644</v>
      </c>
      <c r="BM551" t="s">
        <v>7645</v>
      </c>
      <c r="BN551" t="s">
        <v>74</v>
      </c>
      <c r="BO551" t="s">
        <v>74</v>
      </c>
      <c r="BP551" t="s">
        <v>74</v>
      </c>
      <c r="BQ551" t="s">
        <v>74</v>
      </c>
      <c r="BR551" t="s">
        <v>98</v>
      </c>
      <c r="BS551" t="s">
        <v>7646</v>
      </c>
      <c r="BT551" t="str">
        <f>HYPERLINK("https%3A%2F%2Fwww.webofscience.com%2Fwos%2Fwoscc%2Ffull-record%2FWOS:000076081700027","View Full Record in Web of Science")</f>
        <v>View Full Record in Web of Science</v>
      </c>
    </row>
    <row r="552" spans="1:72" x14ac:dyDescent="0.15">
      <c r="A552" t="s">
        <v>72</v>
      </c>
      <c r="B552" t="s">
        <v>7647</v>
      </c>
      <c r="C552" t="s">
        <v>74</v>
      </c>
      <c r="D552" t="s">
        <v>74</v>
      </c>
      <c r="E552" t="s">
        <v>74</v>
      </c>
      <c r="F552" t="s">
        <v>7647</v>
      </c>
      <c r="G552" t="s">
        <v>74</v>
      </c>
      <c r="H552" t="s">
        <v>74</v>
      </c>
      <c r="I552" t="s">
        <v>7648</v>
      </c>
      <c r="J552" t="s">
        <v>1450</v>
      </c>
      <c r="K552" t="s">
        <v>74</v>
      </c>
      <c r="L552" t="s">
        <v>74</v>
      </c>
      <c r="M552" t="s">
        <v>77</v>
      </c>
      <c r="N552" t="s">
        <v>103</v>
      </c>
      <c r="O552" t="s">
        <v>74</v>
      </c>
      <c r="P552" t="s">
        <v>74</v>
      </c>
      <c r="Q552" t="s">
        <v>74</v>
      </c>
      <c r="R552" t="s">
        <v>74</v>
      </c>
      <c r="S552" t="s">
        <v>74</v>
      </c>
      <c r="T552" t="s">
        <v>74</v>
      </c>
      <c r="U552" t="s">
        <v>7649</v>
      </c>
      <c r="V552" t="s">
        <v>7650</v>
      </c>
      <c r="W552" t="s">
        <v>7651</v>
      </c>
      <c r="X552" t="s">
        <v>7652</v>
      </c>
      <c r="Y552" t="s">
        <v>7653</v>
      </c>
      <c r="Z552" t="s">
        <v>74</v>
      </c>
      <c r="AA552" t="s">
        <v>6504</v>
      </c>
      <c r="AB552" t="s">
        <v>7654</v>
      </c>
      <c r="AC552" t="s">
        <v>74</v>
      </c>
      <c r="AD552" t="s">
        <v>74</v>
      </c>
      <c r="AE552" t="s">
        <v>74</v>
      </c>
      <c r="AF552" t="s">
        <v>74</v>
      </c>
      <c r="AG552">
        <v>28</v>
      </c>
      <c r="AH552">
        <v>9</v>
      </c>
      <c r="AI552">
        <v>9</v>
      </c>
      <c r="AJ552">
        <v>1</v>
      </c>
      <c r="AK552">
        <v>2</v>
      </c>
      <c r="AL552" t="s">
        <v>966</v>
      </c>
      <c r="AM552" t="s">
        <v>967</v>
      </c>
      <c r="AN552" t="s">
        <v>968</v>
      </c>
      <c r="AO552" t="s">
        <v>74</v>
      </c>
      <c r="AP552" t="s">
        <v>74</v>
      </c>
      <c r="AQ552" t="s">
        <v>74</v>
      </c>
      <c r="AR552" t="s">
        <v>1460</v>
      </c>
      <c r="AS552" t="s">
        <v>1461</v>
      </c>
      <c r="AT552" t="s">
        <v>7066</v>
      </c>
      <c r="AU552">
        <v>1998</v>
      </c>
      <c r="AV552">
        <v>103</v>
      </c>
      <c r="AW552" t="s">
        <v>7655</v>
      </c>
      <c r="AX552" t="s">
        <v>74</v>
      </c>
      <c r="AY552" t="s">
        <v>74</v>
      </c>
      <c r="AZ552" t="s">
        <v>74</v>
      </c>
      <c r="BA552" t="s">
        <v>74</v>
      </c>
      <c r="BB552">
        <v>20459</v>
      </c>
      <c r="BC552">
        <v>20468</v>
      </c>
      <c r="BD552" t="s">
        <v>74</v>
      </c>
      <c r="BE552" t="s">
        <v>7656</v>
      </c>
      <c r="BF552" t="str">
        <f>HYPERLINK("http://dx.doi.org/10.1029/98JA01562","http://dx.doi.org/10.1029/98JA01562")</f>
        <v>http://dx.doi.org/10.1029/98JA01562</v>
      </c>
      <c r="BG552" t="s">
        <v>74</v>
      </c>
      <c r="BH552" t="s">
        <v>74</v>
      </c>
      <c r="BI552">
        <v>10</v>
      </c>
      <c r="BJ552" t="s">
        <v>1464</v>
      </c>
      <c r="BK552" t="s">
        <v>95</v>
      </c>
      <c r="BL552" t="s">
        <v>1464</v>
      </c>
      <c r="BM552" t="s">
        <v>7657</v>
      </c>
      <c r="BN552" t="s">
        <v>74</v>
      </c>
      <c r="BO552" t="s">
        <v>1089</v>
      </c>
      <c r="BP552" t="s">
        <v>74</v>
      </c>
      <c r="BQ552" t="s">
        <v>74</v>
      </c>
      <c r="BR552" t="s">
        <v>98</v>
      </c>
      <c r="BS552" t="s">
        <v>7658</v>
      </c>
      <c r="BT552" t="str">
        <f>HYPERLINK("https%3A%2F%2Fwww.webofscience.com%2Fwos%2Fwoscc%2Ffull-record%2FWOS:000075817300011","View Full Record in Web of Science")</f>
        <v>View Full Record in Web of Science</v>
      </c>
    </row>
    <row r="553" spans="1:72" x14ac:dyDescent="0.15">
      <c r="A553" t="s">
        <v>72</v>
      </c>
      <c r="B553" t="s">
        <v>7659</v>
      </c>
      <c r="C553" t="s">
        <v>74</v>
      </c>
      <c r="D553" t="s">
        <v>74</v>
      </c>
      <c r="E553" t="s">
        <v>74</v>
      </c>
      <c r="F553" t="s">
        <v>7659</v>
      </c>
      <c r="G553" t="s">
        <v>74</v>
      </c>
      <c r="H553" t="s">
        <v>74</v>
      </c>
      <c r="I553" t="s">
        <v>7660</v>
      </c>
      <c r="J553" t="s">
        <v>1450</v>
      </c>
      <c r="K553" t="s">
        <v>74</v>
      </c>
      <c r="L553" t="s">
        <v>74</v>
      </c>
      <c r="M553" t="s">
        <v>77</v>
      </c>
      <c r="N553" t="s">
        <v>103</v>
      </c>
      <c r="O553" t="s">
        <v>74</v>
      </c>
      <c r="P553" t="s">
        <v>74</v>
      </c>
      <c r="Q553" t="s">
        <v>74</v>
      </c>
      <c r="R553" t="s">
        <v>74</v>
      </c>
      <c r="S553" t="s">
        <v>74</v>
      </c>
      <c r="T553" t="s">
        <v>74</v>
      </c>
      <c r="U553" t="s">
        <v>7661</v>
      </c>
      <c r="V553" t="s">
        <v>7662</v>
      </c>
      <c r="W553" t="s">
        <v>5906</v>
      </c>
      <c r="X553" t="s">
        <v>577</v>
      </c>
      <c r="Y553" t="s">
        <v>7663</v>
      </c>
      <c r="Z553" t="s">
        <v>74</v>
      </c>
      <c r="AA553" t="s">
        <v>74</v>
      </c>
      <c r="AB553" t="s">
        <v>74</v>
      </c>
      <c r="AC553" t="s">
        <v>74</v>
      </c>
      <c r="AD553" t="s">
        <v>74</v>
      </c>
      <c r="AE553" t="s">
        <v>74</v>
      </c>
      <c r="AF553" t="s">
        <v>74</v>
      </c>
      <c r="AG553">
        <v>32</v>
      </c>
      <c r="AH553">
        <v>12</v>
      </c>
      <c r="AI553">
        <v>13</v>
      </c>
      <c r="AJ553">
        <v>0</v>
      </c>
      <c r="AK553">
        <v>1</v>
      </c>
      <c r="AL553" t="s">
        <v>966</v>
      </c>
      <c r="AM553" t="s">
        <v>967</v>
      </c>
      <c r="AN553" t="s">
        <v>968</v>
      </c>
      <c r="AO553" t="s">
        <v>74</v>
      </c>
      <c r="AP553" t="s">
        <v>74</v>
      </c>
      <c r="AQ553" t="s">
        <v>74</v>
      </c>
      <c r="AR553" t="s">
        <v>1460</v>
      </c>
      <c r="AS553" t="s">
        <v>1461</v>
      </c>
      <c r="AT553" t="s">
        <v>7066</v>
      </c>
      <c r="AU553">
        <v>1998</v>
      </c>
      <c r="AV553">
        <v>103</v>
      </c>
      <c r="AW553" t="s">
        <v>7655</v>
      </c>
      <c r="AX553" t="s">
        <v>74</v>
      </c>
      <c r="AY553" t="s">
        <v>74</v>
      </c>
      <c r="AZ553" t="s">
        <v>74</v>
      </c>
      <c r="BA553" t="s">
        <v>74</v>
      </c>
      <c r="BB553">
        <v>20659</v>
      </c>
      <c r="BC553">
        <v>20667</v>
      </c>
      <c r="BD553" t="s">
        <v>74</v>
      </c>
      <c r="BE553" t="s">
        <v>7664</v>
      </c>
      <c r="BF553" t="str">
        <f>HYPERLINK("http://dx.doi.org/10.1029/98JA01739","http://dx.doi.org/10.1029/98JA01739")</f>
        <v>http://dx.doi.org/10.1029/98JA01739</v>
      </c>
      <c r="BG553" t="s">
        <v>74</v>
      </c>
      <c r="BH553" t="s">
        <v>74</v>
      </c>
      <c r="BI553">
        <v>9</v>
      </c>
      <c r="BJ553" t="s">
        <v>1464</v>
      </c>
      <c r="BK553" t="s">
        <v>95</v>
      </c>
      <c r="BL553" t="s">
        <v>1464</v>
      </c>
      <c r="BM553" t="s">
        <v>7657</v>
      </c>
      <c r="BN553" t="s">
        <v>74</v>
      </c>
      <c r="BO553" t="s">
        <v>1089</v>
      </c>
      <c r="BP553" t="s">
        <v>74</v>
      </c>
      <c r="BQ553" t="s">
        <v>74</v>
      </c>
      <c r="BR553" t="s">
        <v>98</v>
      </c>
      <c r="BS553" t="s">
        <v>7665</v>
      </c>
      <c r="BT553" t="str">
        <f>HYPERLINK("https%3A%2F%2Fwww.webofscience.com%2Fwos%2Fwoscc%2Ffull-record%2FWOS:000075817300031","View Full Record in Web of Science")</f>
        <v>View Full Record in Web of Science</v>
      </c>
    </row>
    <row r="554" spans="1:72" x14ac:dyDescent="0.15">
      <c r="A554" t="s">
        <v>72</v>
      </c>
      <c r="B554" t="s">
        <v>7666</v>
      </c>
      <c r="C554" t="s">
        <v>74</v>
      </c>
      <c r="D554" t="s">
        <v>74</v>
      </c>
      <c r="E554" t="s">
        <v>74</v>
      </c>
      <c r="F554" t="s">
        <v>7666</v>
      </c>
      <c r="G554" t="s">
        <v>74</v>
      </c>
      <c r="H554" t="s">
        <v>74</v>
      </c>
      <c r="I554" t="s">
        <v>7667</v>
      </c>
      <c r="J554" t="s">
        <v>1450</v>
      </c>
      <c r="K554" t="s">
        <v>74</v>
      </c>
      <c r="L554" t="s">
        <v>74</v>
      </c>
      <c r="M554" t="s">
        <v>77</v>
      </c>
      <c r="N554" t="s">
        <v>103</v>
      </c>
      <c r="O554" t="s">
        <v>74</v>
      </c>
      <c r="P554" t="s">
        <v>74</v>
      </c>
      <c r="Q554" t="s">
        <v>74</v>
      </c>
      <c r="R554" t="s">
        <v>74</v>
      </c>
      <c r="S554" t="s">
        <v>74</v>
      </c>
      <c r="T554" t="s">
        <v>74</v>
      </c>
      <c r="U554" t="s">
        <v>7668</v>
      </c>
      <c r="V554" t="s">
        <v>7669</v>
      </c>
      <c r="W554" t="s">
        <v>944</v>
      </c>
      <c r="X554" t="s">
        <v>628</v>
      </c>
      <c r="Y554" t="s">
        <v>7670</v>
      </c>
      <c r="Z554" t="s">
        <v>74</v>
      </c>
      <c r="AA554" t="s">
        <v>74</v>
      </c>
      <c r="AB554" t="s">
        <v>74</v>
      </c>
      <c r="AC554" t="s">
        <v>74</v>
      </c>
      <c r="AD554" t="s">
        <v>74</v>
      </c>
      <c r="AE554" t="s">
        <v>74</v>
      </c>
      <c r="AF554" t="s">
        <v>74</v>
      </c>
      <c r="AG554">
        <v>39</v>
      </c>
      <c r="AH554">
        <v>95</v>
      </c>
      <c r="AI554">
        <v>95</v>
      </c>
      <c r="AJ554">
        <v>0</v>
      </c>
      <c r="AK554">
        <v>2</v>
      </c>
      <c r="AL554" t="s">
        <v>966</v>
      </c>
      <c r="AM554" t="s">
        <v>967</v>
      </c>
      <c r="AN554" t="s">
        <v>968</v>
      </c>
      <c r="AO554" t="s">
        <v>74</v>
      </c>
      <c r="AP554" t="s">
        <v>74</v>
      </c>
      <c r="AQ554" t="s">
        <v>74</v>
      </c>
      <c r="AR554" t="s">
        <v>1460</v>
      </c>
      <c r="AS554" t="s">
        <v>1461</v>
      </c>
      <c r="AT554" t="s">
        <v>7066</v>
      </c>
      <c r="AU554">
        <v>1998</v>
      </c>
      <c r="AV554">
        <v>103</v>
      </c>
      <c r="AW554" t="s">
        <v>7655</v>
      </c>
      <c r="AX554" t="s">
        <v>74</v>
      </c>
      <c r="AY554" t="s">
        <v>74</v>
      </c>
      <c r="AZ554" t="s">
        <v>74</v>
      </c>
      <c r="BA554" t="s">
        <v>74</v>
      </c>
      <c r="BB554">
        <v>20775</v>
      </c>
      <c r="BC554">
        <v>20787</v>
      </c>
      <c r="BD554" t="s">
        <v>74</v>
      </c>
      <c r="BE554" t="s">
        <v>7671</v>
      </c>
      <c r="BF554" t="str">
        <f>HYPERLINK("http://dx.doi.org/10.1029/98JA01629","http://dx.doi.org/10.1029/98JA01629")</f>
        <v>http://dx.doi.org/10.1029/98JA01629</v>
      </c>
      <c r="BG554" t="s">
        <v>74</v>
      </c>
      <c r="BH554" t="s">
        <v>74</v>
      </c>
      <c r="BI554">
        <v>13</v>
      </c>
      <c r="BJ554" t="s">
        <v>1464</v>
      </c>
      <c r="BK554" t="s">
        <v>95</v>
      </c>
      <c r="BL554" t="s">
        <v>1464</v>
      </c>
      <c r="BM554" t="s">
        <v>7657</v>
      </c>
      <c r="BN554" t="s">
        <v>74</v>
      </c>
      <c r="BO554" t="s">
        <v>1089</v>
      </c>
      <c r="BP554" t="s">
        <v>74</v>
      </c>
      <c r="BQ554" t="s">
        <v>74</v>
      </c>
      <c r="BR554" t="s">
        <v>98</v>
      </c>
      <c r="BS554" t="s">
        <v>7672</v>
      </c>
      <c r="BT554" t="str">
        <f>HYPERLINK("https%3A%2F%2Fwww.webofscience.com%2Fwos%2Fwoscc%2Ffull-record%2FWOS:000075817300041","View Full Record in Web of Science")</f>
        <v>View Full Record in Web of Science</v>
      </c>
    </row>
    <row r="555" spans="1:72" x14ac:dyDescent="0.15">
      <c r="A555" t="s">
        <v>72</v>
      </c>
      <c r="B555" t="s">
        <v>485</v>
      </c>
      <c r="C555" t="s">
        <v>74</v>
      </c>
      <c r="D555" t="s">
        <v>74</v>
      </c>
      <c r="E555" t="s">
        <v>74</v>
      </c>
      <c r="F555" t="s">
        <v>485</v>
      </c>
      <c r="G555" t="s">
        <v>74</v>
      </c>
      <c r="H555" t="s">
        <v>74</v>
      </c>
      <c r="I555" t="s">
        <v>7673</v>
      </c>
      <c r="J555" t="s">
        <v>1583</v>
      </c>
      <c r="K555" t="s">
        <v>74</v>
      </c>
      <c r="L555" t="s">
        <v>74</v>
      </c>
      <c r="M555" t="s">
        <v>77</v>
      </c>
      <c r="N555" t="s">
        <v>103</v>
      </c>
      <c r="O555" t="s">
        <v>74</v>
      </c>
      <c r="P555" t="s">
        <v>74</v>
      </c>
      <c r="Q555" t="s">
        <v>74</v>
      </c>
      <c r="R555" t="s">
        <v>74</v>
      </c>
      <c r="S555" t="s">
        <v>74</v>
      </c>
      <c r="T555" t="s">
        <v>74</v>
      </c>
      <c r="U555" t="s">
        <v>7674</v>
      </c>
      <c r="V555" t="s">
        <v>7675</v>
      </c>
      <c r="W555" t="s">
        <v>7676</v>
      </c>
      <c r="X555" t="s">
        <v>3046</v>
      </c>
      <c r="Y555" t="s">
        <v>489</v>
      </c>
      <c r="Z555" t="s">
        <v>74</v>
      </c>
      <c r="AA555" t="s">
        <v>74</v>
      </c>
      <c r="AB555" t="s">
        <v>74</v>
      </c>
      <c r="AC555" t="s">
        <v>74</v>
      </c>
      <c r="AD555" t="s">
        <v>74</v>
      </c>
      <c r="AE555" t="s">
        <v>74</v>
      </c>
      <c r="AF555" t="s">
        <v>74</v>
      </c>
      <c r="AG555">
        <v>46</v>
      </c>
      <c r="AH555">
        <v>73</v>
      </c>
      <c r="AI555">
        <v>79</v>
      </c>
      <c r="AJ555">
        <v>4</v>
      </c>
      <c r="AK555">
        <v>27</v>
      </c>
      <c r="AL555" t="s">
        <v>1589</v>
      </c>
      <c r="AM555" t="s">
        <v>1590</v>
      </c>
      <c r="AN555" t="s">
        <v>1591</v>
      </c>
      <c r="AO555" t="s">
        <v>1592</v>
      </c>
      <c r="AP555" t="s">
        <v>74</v>
      </c>
      <c r="AQ555" t="s">
        <v>74</v>
      </c>
      <c r="AR555" t="s">
        <v>1593</v>
      </c>
      <c r="AS555" t="s">
        <v>1594</v>
      </c>
      <c r="AT555" t="s">
        <v>7083</v>
      </c>
      <c r="AU555">
        <v>1998</v>
      </c>
      <c r="AV555">
        <v>56</v>
      </c>
      <c r="AW555">
        <v>5</v>
      </c>
      <c r="AX555" t="s">
        <v>74</v>
      </c>
      <c r="AY555" t="s">
        <v>74</v>
      </c>
      <c r="AZ555" t="s">
        <v>74</v>
      </c>
      <c r="BA555" t="s">
        <v>74</v>
      </c>
      <c r="BB555">
        <v>1029</v>
      </c>
      <c r="BC555">
        <v>1067</v>
      </c>
      <c r="BD555" t="s">
        <v>74</v>
      </c>
      <c r="BE555" t="s">
        <v>7677</v>
      </c>
      <c r="BF555" t="str">
        <f>HYPERLINK("http://dx.doi.org/10.1357/002224098765173455","http://dx.doi.org/10.1357/002224098765173455")</f>
        <v>http://dx.doi.org/10.1357/002224098765173455</v>
      </c>
      <c r="BG555" t="s">
        <v>74</v>
      </c>
      <c r="BH555" t="s">
        <v>74</v>
      </c>
      <c r="BI555">
        <v>39</v>
      </c>
      <c r="BJ555" t="s">
        <v>451</v>
      </c>
      <c r="BK555" t="s">
        <v>95</v>
      </c>
      <c r="BL555" t="s">
        <v>451</v>
      </c>
      <c r="BM555" t="s">
        <v>7678</v>
      </c>
      <c r="BN555" t="s">
        <v>74</v>
      </c>
      <c r="BO555" t="s">
        <v>74</v>
      </c>
      <c r="BP555" t="s">
        <v>74</v>
      </c>
      <c r="BQ555" t="s">
        <v>74</v>
      </c>
      <c r="BR555" t="s">
        <v>98</v>
      </c>
      <c r="BS555" t="s">
        <v>7679</v>
      </c>
      <c r="BT555" t="str">
        <f>HYPERLINK("https%3A%2F%2Fwww.webofscience.com%2Fwos%2Fwoscc%2Ffull-record%2FWOS:000076740900003","View Full Record in Web of Science")</f>
        <v>View Full Record in Web of Science</v>
      </c>
    </row>
    <row r="556" spans="1:72" x14ac:dyDescent="0.15">
      <c r="A556" t="s">
        <v>72</v>
      </c>
      <c r="B556" t="s">
        <v>7680</v>
      </c>
      <c r="C556" t="s">
        <v>74</v>
      </c>
      <c r="D556" t="s">
        <v>74</v>
      </c>
      <c r="E556" t="s">
        <v>74</v>
      </c>
      <c r="F556" t="s">
        <v>7680</v>
      </c>
      <c r="G556" t="s">
        <v>74</v>
      </c>
      <c r="H556" t="s">
        <v>74</v>
      </c>
      <c r="I556" t="s">
        <v>7681</v>
      </c>
      <c r="J556" t="s">
        <v>7682</v>
      </c>
      <c r="K556" t="s">
        <v>74</v>
      </c>
      <c r="L556" t="s">
        <v>74</v>
      </c>
      <c r="M556" t="s">
        <v>77</v>
      </c>
      <c r="N556" t="s">
        <v>103</v>
      </c>
      <c r="O556" t="s">
        <v>74</v>
      </c>
      <c r="P556" t="s">
        <v>74</v>
      </c>
      <c r="Q556" t="s">
        <v>74</v>
      </c>
      <c r="R556" t="s">
        <v>74</v>
      </c>
      <c r="S556" t="s">
        <v>74</v>
      </c>
      <c r="T556" t="s">
        <v>7683</v>
      </c>
      <c r="U556" t="s">
        <v>7684</v>
      </c>
      <c r="V556" t="s">
        <v>7685</v>
      </c>
      <c r="W556" t="s">
        <v>7686</v>
      </c>
      <c r="X556" t="s">
        <v>7687</v>
      </c>
      <c r="Y556" t="s">
        <v>7688</v>
      </c>
      <c r="Z556" t="s">
        <v>7689</v>
      </c>
      <c r="AA556" t="s">
        <v>7690</v>
      </c>
      <c r="AB556" t="s">
        <v>7691</v>
      </c>
      <c r="AC556" t="s">
        <v>74</v>
      </c>
      <c r="AD556" t="s">
        <v>74</v>
      </c>
      <c r="AE556" t="s">
        <v>74</v>
      </c>
      <c r="AF556" t="s">
        <v>74</v>
      </c>
      <c r="AG556">
        <v>86</v>
      </c>
      <c r="AH556">
        <v>20</v>
      </c>
      <c r="AI556">
        <v>22</v>
      </c>
      <c r="AJ556">
        <v>0</v>
      </c>
      <c r="AK556">
        <v>14</v>
      </c>
      <c r="AL556" t="s">
        <v>277</v>
      </c>
      <c r="AM556" t="s">
        <v>278</v>
      </c>
      <c r="AN556" t="s">
        <v>279</v>
      </c>
      <c r="AO556" t="s">
        <v>7692</v>
      </c>
      <c r="AP556" t="s">
        <v>74</v>
      </c>
      <c r="AQ556" t="s">
        <v>74</v>
      </c>
      <c r="AR556" t="s">
        <v>7693</v>
      </c>
      <c r="AS556" t="s">
        <v>7694</v>
      </c>
      <c r="AT556" t="s">
        <v>7083</v>
      </c>
      <c r="AU556">
        <v>1998</v>
      </c>
      <c r="AV556">
        <v>237</v>
      </c>
      <c r="AW556">
        <v>3</v>
      </c>
      <c r="AX556" t="s">
        <v>74</v>
      </c>
      <c r="AY556" t="s">
        <v>74</v>
      </c>
      <c r="AZ556" t="s">
        <v>74</v>
      </c>
      <c r="BA556" t="s">
        <v>74</v>
      </c>
      <c r="BB556">
        <v>213</v>
      </c>
      <c r="BC556">
        <v>236</v>
      </c>
      <c r="BD556" t="s">
        <v>74</v>
      </c>
      <c r="BE556" t="s">
        <v>7695</v>
      </c>
      <c r="BF556" t="str">
        <f>HYPERLINK("http://dx.doi.org/10.1002/(SICI)1097-4687(199809)237:3&lt;213::AID-JMOR2&gt;3.0.CO;2-#","http://dx.doi.org/10.1002/(SICI)1097-4687(199809)237:3&lt;213::AID-JMOR2&gt;3.0.CO;2-#")</f>
        <v>http://dx.doi.org/10.1002/(SICI)1097-4687(199809)237:3&lt;213::AID-JMOR2&gt;3.0.CO;2-#</v>
      </c>
      <c r="BG556" t="s">
        <v>74</v>
      </c>
      <c r="BH556" t="s">
        <v>74</v>
      </c>
      <c r="BI556">
        <v>24</v>
      </c>
      <c r="BJ556" t="s">
        <v>7696</v>
      </c>
      <c r="BK556" t="s">
        <v>95</v>
      </c>
      <c r="BL556" t="s">
        <v>7696</v>
      </c>
      <c r="BM556" t="s">
        <v>7697</v>
      </c>
      <c r="BN556">
        <v>9734067</v>
      </c>
      <c r="BO556" t="s">
        <v>74</v>
      </c>
      <c r="BP556" t="s">
        <v>74</v>
      </c>
      <c r="BQ556" t="s">
        <v>74</v>
      </c>
      <c r="BR556" t="s">
        <v>98</v>
      </c>
      <c r="BS556" t="s">
        <v>7698</v>
      </c>
      <c r="BT556" t="str">
        <f>HYPERLINK("https%3A%2F%2Fwww.webofscience.com%2Fwos%2Fwoscc%2Ffull-record%2FWOS:000075623100002","View Full Record in Web of Science")</f>
        <v>View Full Record in Web of Science</v>
      </c>
    </row>
    <row r="557" spans="1:72" x14ac:dyDescent="0.15">
      <c r="A557" t="s">
        <v>72</v>
      </c>
      <c r="B557" t="s">
        <v>7699</v>
      </c>
      <c r="C557" t="s">
        <v>74</v>
      </c>
      <c r="D557" t="s">
        <v>74</v>
      </c>
      <c r="E557" t="s">
        <v>74</v>
      </c>
      <c r="F557" t="s">
        <v>7699</v>
      </c>
      <c r="G557" t="s">
        <v>74</v>
      </c>
      <c r="H557" t="s">
        <v>74</v>
      </c>
      <c r="I557" t="s">
        <v>7700</v>
      </c>
      <c r="J557" t="s">
        <v>5611</v>
      </c>
      <c r="K557" t="s">
        <v>74</v>
      </c>
      <c r="L557" t="s">
        <v>74</v>
      </c>
      <c r="M557" t="s">
        <v>77</v>
      </c>
      <c r="N557" t="s">
        <v>103</v>
      </c>
      <c r="O557" t="s">
        <v>74</v>
      </c>
      <c r="P557" t="s">
        <v>74</v>
      </c>
      <c r="Q557" t="s">
        <v>74</v>
      </c>
      <c r="R557" t="s">
        <v>74</v>
      </c>
      <c r="S557" t="s">
        <v>74</v>
      </c>
      <c r="T557" t="s">
        <v>74</v>
      </c>
      <c r="U557" t="s">
        <v>7701</v>
      </c>
      <c r="V557" t="s">
        <v>7702</v>
      </c>
      <c r="W557" t="s">
        <v>7703</v>
      </c>
      <c r="X557" t="s">
        <v>7704</v>
      </c>
      <c r="Y557" t="s">
        <v>7705</v>
      </c>
      <c r="Z557" t="s">
        <v>74</v>
      </c>
      <c r="AA557" t="s">
        <v>74</v>
      </c>
      <c r="AB557" t="s">
        <v>7706</v>
      </c>
      <c r="AC557" t="s">
        <v>74</v>
      </c>
      <c r="AD557" t="s">
        <v>74</v>
      </c>
      <c r="AE557" t="s">
        <v>74</v>
      </c>
      <c r="AF557" t="s">
        <v>74</v>
      </c>
      <c r="AG557">
        <v>11</v>
      </c>
      <c r="AH557">
        <v>168</v>
      </c>
      <c r="AI557">
        <v>178</v>
      </c>
      <c r="AJ557">
        <v>2</v>
      </c>
      <c r="AK557">
        <v>11</v>
      </c>
      <c r="AL557" t="s">
        <v>3813</v>
      </c>
      <c r="AM557" t="s">
        <v>967</v>
      </c>
      <c r="AN557" t="s">
        <v>3814</v>
      </c>
      <c r="AO557" t="s">
        <v>5620</v>
      </c>
      <c r="AP557" t="s">
        <v>74</v>
      </c>
      <c r="AQ557" t="s">
        <v>74</v>
      </c>
      <c r="AR557" t="s">
        <v>5622</v>
      </c>
      <c r="AS557" t="s">
        <v>5623</v>
      </c>
      <c r="AT557" t="s">
        <v>7083</v>
      </c>
      <c r="AU557">
        <v>1998</v>
      </c>
      <c r="AV557">
        <v>61</v>
      </c>
      <c r="AW557">
        <v>9</v>
      </c>
      <c r="AX557" t="s">
        <v>74</v>
      </c>
      <c r="AY557" t="s">
        <v>74</v>
      </c>
      <c r="AZ557" t="s">
        <v>74</v>
      </c>
      <c r="BA557" t="s">
        <v>74</v>
      </c>
      <c r="BB557">
        <v>1130</v>
      </c>
      <c r="BC557">
        <v>1132</v>
      </c>
      <c r="BD557" t="s">
        <v>74</v>
      </c>
      <c r="BE557" t="s">
        <v>7707</v>
      </c>
      <c r="BF557" t="str">
        <f>HYPERLINK("http://dx.doi.org/10.1021/np970493u","http://dx.doi.org/10.1021/np970493u")</f>
        <v>http://dx.doi.org/10.1021/np970493u</v>
      </c>
      <c r="BG557" t="s">
        <v>74</v>
      </c>
      <c r="BH557" t="s">
        <v>74</v>
      </c>
      <c r="BI557">
        <v>3</v>
      </c>
      <c r="BJ557" t="s">
        <v>5625</v>
      </c>
      <c r="BK557" t="s">
        <v>7708</v>
      </c>
      <c r="BL557" t="s">
        <v>5627</v>
      </c>
      <c r="BM557" t="s">
        <v>7709</v>
      </c>
      <c r="BN557">
        <v>9748381</v>
      </c>
      <c r="BO557" t="s">
        <v>74</v>
      </c>
      <c r="BP557" t="s">
        <v>74</v>
      </c>
      <c r="BQ557" t="s">
        <v>74</v>
      </c>
      <c r="BR557" t="s">
        <v>98</v>
      </c>
      <c r="BS557" t="s">
        <v>7710</v>
      </c>
      <c r="BT557" t="str">
        <f>HYPERLINK("https%3A%2F%2Fwww.webofscience.com%2Fwos%2Fwoscc%2Ffull-record%2FWOS:000076194400014","View Full Record in Web of Science")</f>
        <v>View Full Record in Web of Science</v>
      </c>
    </row>
    <row r="558" spans="1:72" x14ac:dyDescent="0.15">
      <c r="A558" t="s">
        <v>72</v>
      </c>
      <c r="B558" t="s">
        <v>7711</v>
      </c>
      <c r="C558" t="s">
        <v>74</v>
      </c>
      <c r="D558" t="s">
        <v>74</v>
      </c>
      <c r="E558" t="s">
        <v>74</v>
      </c>
      <c r="F558" t="s">
        <v>7711</v>
      </c>
      <c r="G558" t="s">
        <v>74</v>
      </c>
      <c r="H558" t="s">
        <v>74</v>
      </c>
      <c r="I558" t="s">
        <v>7712</v>
      </c>
      <c r="J558" t="s">
        <v>4418</v>
      </c>
      <c r="K558" t="s">
        <v>74</v>
      </c>
      <c r="L558" t="s">
        <v>74</v>
      </c>
      <c r="M558" t="s">
        <v>77</v>
      </c>
      <c r="N558" t="s">
        <v>103</v>
      </c>
      <c r="O558" t="s">
        <v>74</v>
      </c>
      <c r="P558" t="s">
        <v>74</v>
      </c>
      <c r="Q558" t="s">
        <v>74</v>
      </c>
      <c r="R558" t="s">
        <v>74</v>
      </c>
      <c r="S558" t="s">
        <v>74</v>
      </c>
      <c r="T558" t="s">
        <v>74</v>
      </c>
      <c r="U558" t="s">
        <v>7713</v>
      </c>
      <c r="V558" t="s">
        <v>7714</v>
      </c>
      <c r="W558" t="s">
        <v>7715</v>
      </c>
      <c r="X558" t="s">
        <v>4257</v>
      </c>
      <c r="Y558" t="s">
        <v>7716</v>
      </c>
      <c r="Z558" t="s">
        <v>74</v>
      </c>
      <c r="AA558" t="s">
        <v>7717</v>
      </c>
      <c r="AB558" t="s">
        <v>7718</v>
      </c>
      <c r="AC558" t="s">
        <v>74</v>
      </c>
      <c r="AD558" t="s">
        <v>74</v>
      </c>
      <c r="AE558" t="s">
        <v>74</v>
      </c>
      <c r="AF558" t="s">
        <v>74</v>
      </c>
      <c r="AG558">
        <v>32</v>
      </c>
      <c r="AH558">
        <v>246</v>
      </c>
      <c r="AI558">
        <v>274</v>
      </c>
      <c r="AJ558">
        <v>0</v>
      </c>
      <c r="AK558">
        <v>27</v>
      </c>
      <c r="AL558" t="s">
        <v>1344</v>
      </c>
      <c r="AM558" t="s">
        <v>1345</v>
      </c>
      <c r="AN558" t="s">
        <v>1346</v>
      </c>
      <c r="AO558" t="s">
        <v>4423</v>
      </c>
      <c r="AP558" t="s">
        <v>74</v>
      </c>
      <c r="AQ558" t="s">
        <v>74</v>
      </c>
      <c r="AR558" t="s">
        <v>4424</v>
      </c>
      <c r="AS558" t="s">
        <v>4425</v>
      </c>
      <c r="AT558" t="s">
        <v>7083</v>
      </c>
      <c r="AU558">
        <v>1998</v>
      </c>
      <c r="AV558">
        <v>28</v>
      </c>
      <c r="AW558">
        <v>9</v>
      </c>
      <c r="AX558" t="s">
        <v>74</v>
      </c>
      <c r="AY558" t="s">
        <v>74</v>
      </c>
      <c r="AZ558" t="s">
        <v>74</v>
      </c>
      <c r="BA558" t="s">
        <v>74</v>
      </c>
      <c r="BB558">
        <v>1832</v>
      </c>
      <c r="BC558">
        <v>1852</v>
      </c>
      <c r="BD558" t="s">
        <v>74</v>
      </c>
      <c r="BE558" t="s">
        <v>7719</v>
      </c>
      <c r="BF558" t="str">
        <f>HYPERLINK("http://dx.doi.org/10.1175/1520-0485(1998)028&lt;1832:OTOSLS&gt;2.0.CO;2","http://dx.doi.org/10.1175/1520-0485(1998)028&lt;1832:OTOSLS&gt;2.0.CO;2")</f>
        <v>http://dx.doi.org/10.1175/1520-0485(1998)028&lt;1832:OTOSLS&gt;2.0.CO;2</v>
      </c>
      <c r="BG558" t="s">
        <v>74</v>
      </c>
      <c r="BH558" t="s">
        <v>74</v>
      </c>
      <c r="BI558">
        <v>21</v>
      </c>
      <c r="BJ558" t="s">
        <v>451</v>
      </c>
      <c r="BK558" t="s">
        <v>95</v>
      </c>
      <c r="BL558" t="s">
        <v>451</v>
      </c>
      <c r="BM558" t="s">
        <v>7720</v>
      </c>
      <c r="BN558" t="s">
        <v>74</v>
      </c>
      <c r="BO558" t="s">
        <v>1089</v>
      </c>
      <c r="BP558" t="s">
        <v>74</v>
      </c>
      <c r="BQ558" t="s">
        <v>74</v>
      </c>
      <c r="BR558" t="s">
        <v>98</v>
      </c>
      <c r="BS558" t="s">
        <v>7721</v>
      </c>
      <c r="BT558" t="str">
        <f>HYPERLINK("https%3A%2F%2Fwww.webofscience.com%2Fwos%2Fwoscc%2Ffull-record%2FWOS:000075696800009","View Full Record in Web of Science")</f>
        <v>View Full Record in Web of Science</v>
      </c>
    </row>
    <row r="559" spans="1:72" x14ac:dyDescent="0.15">
      <c r="A559" t="s">
        <v>72</v>
      </c>
      <c r="B559" t="s">
        <v>7722</v>
      </c>
      <c r="C559" t="s">
        <v>74</v>
      </c>
      <c r="D559" t="s">
        <v>74</v>
      </c>
      <c r="E559" t="s">
        <v>74</v>
      </c>
      <c r="F559" t="s">
        <v>7722</v>
      </c>
      <c r="G559" t="s">
        <v>74</v>
      </c>
      <c r="H559" t="s">
        <v>74</v>
      </c>
      <c r="I559" t="s">
        <v>7723</v>
      </c>
      <c r="J559" t="s">
        <v>1688</v>
      </c>
      <c r="K559" t="s">
        <v>74</v>
      </c>
      <c r="L559" t="s">
        <v>74</v>
      </c>
      <c r="M559" t="s">
        <v>77</v>
      </c>
      <c r="N559" t="s">
        <v>103</v>
      </c>
      <c r="O559" t="s">
        <v>74</v>
      </c>
      <c r="P559" t="s">
        <v>74</v>
      </c>
      <c r="Q559" t="s">
        <v>74</v>
      </c>
      <c r="R559" t="s">
        <v>74</v>
      </c>
      <c r="S559" t="s">
        <v>74</v>
      </c>
      <c r="T559" t="s">
        <v>7724</v>
      </c>
      <c r="U559" t="s">
        <v>7725</v>
      </c>
      <c r="V559" t="s">
        <v>7726</v>
      </c>
      <c r="W559" t="s">
        <v>7727</v>
      </c>
      <c r="X559" t="s">
        <v>7728</v>
      </c>
      <c r="Y559" t="s">
        <v>7729</v>
      </c>
      <c r="Z559" t="s">
        <v>7730</v>
      </c>
      <c r="AA559" t="s">
        <v>7731</v>
      </c>
      <c r="AB559" t="s">
        <v>7732</v>
      </c>
      <c r="AC559" t="s">
        <v>74</v>
      </c>
      <c r="AD559" t="s">
        <v>74</v>
      </c>
      <c r="AE559" t="s">
        <v>74</v>
      </c>
      <c r="AF559" t="s">
        <v>74</v>
      </c>
      <c r="AG559">
        <v>30</v>
      </c>
      <c r="AH559">
        <v>32</v>
      </c>
      <c r="AI559">
        <v>34</v>
      </c>
      <c r="AJ559">
        <v>0</v>
      </c>
      <c r="AK559">
        <v>0</v>
      </c>
      <c r="AL559" t="s">
        <v>1697</v>
      </c>
      <c r="AM559" t="s">
        <v>1698</v>
      </c>
      <c r="AN559" t="s">
        <v>1699</v>
      </c>
      <c r="AO559" t="s">
        <v>1700</v>
      </c>
      <c r="AP559" t="s">
        <v>1701</v>
      </c>
      <c r="AQ559" t="s">
        <v>74</v>
      </c>
      <c r="AR559" t="s">
        <v>1702</v>
      </c>
      <c r="AS559" t="s">
        <v>1703</v>
      </c>
      <c r="AT559" t="s">
        <v>7083</v>
      </c>
      <c r="AU559">
        <v>1998</v>
      </c>
      <c r="AV559">
        <v>155</v>
      </c>
      <c r="AW559" t="s">
        <v>74</v>
      </c>
      <c r="AX559">
        <v>5</v>
      </c>
      <c r="AY559" t="s">
        <v>74</v>
      </c>
      <c r="AZ559" t="s">
        <v>74</v>
      </c>
      <c r="BA559" t="s">
        <v>74</v>
      </c>
      <c r="BB559">
        <v>737</v>
      </c>
      <c r="BC559">
        <v>740</v>
      </c>
      <c r="BD559" t="s">
        <v>74</v>
      </c>
      <c r="BE559" t="s">
        <v>7733</v>
      </c>
      <c r="BF559" t="str">
        <f>HYPERLINK("http://dx.doi.org/10.1144/gsjgs.155.5.0737","http://dx.doi.org/10.1144/gsjgs.155.5.0737")</f>
        <v>http://dx.doi.org/10.1144/gsjgs.155.5.0737</v>
      </c>
      <c r="BG559" t="s">
        <v>74</v>
      </c>
      <c r="BH559" t="s">
        <v>74</v>
      </c>
      <c r="BI559">
        <v>4</v>
      </c>
      <c r="BJ559" t="s">
        <v>192</v>
      </c>
      <c r="BK559" t="s">
        <v>95</v>
      </c>
      <c r="BL559" t="s">
        <v>193</v>
      </c>
      <c r="BM559" t="s">
        <v>7734</v>
      </c>
      <c r="BN559" t="s">
        <v>74</v>
      </c>
      <c r="BO559" t="s">
        <v>74</v>
      </c>
      <c r="BP559" t="s">
        <v>74</v>
      </c>
      <c r="BQ559" t="s">
        <v>74</v>
      </c>
      <c r="BR559" t="s">
        <v>98</v>
      </c>
      <c r="BS559" t="s">
        <v>7735</v>
      </c>
      <c r="BT559" t="str">
        <f>HYPERLINK("https%3A%2F%2Fwww.webofscience.com%2Fwos%2Fwoscc%2Ffull-record%2FWOS:000075596300001","View Full Record in Web of Science")</f>
        <v>View Full Record in Web of Science</v>
      </c>
    </row>
    <row r="560" spans="1:72" x14ac:dyDescent="0.15">
      <c r="A560" t="s">
        <v>72</v>
      </c>
      <c r="B560" t="s">
        <v>7736</v>
      </c>
      <c r="C560" t="s">
        <v>74</v>
      </c>
      <c r="D560" t="s">
        <v>74</v>
      </c>
      <c r="E560" t="s">
        <v>74</v>
      </c>
      <c r="F560" t="s">
        <v>7736</v>
      </c>
      <c r="G560" t="s">
        <v>74</v>
      </c>
      <c r="H560" t="s">
        <v>74</v>
      </c>
      <c r="I560" t="s">
        <v>7737</v>
      </c>
      <c r="J560" t="s">
        <v>7738</v>
      </c>
      <c r="K560" t="s">
        <v>74</v>
      </c>
      <c r="L560" t="s">
        <v>74</v>
      </c>
      <c r="M560" t="s">
        <v>77</v>
      </c>
      <c r="N560" t="s">
        <v>103</v>
      </c>
      <c r="O560" t="s">
        <v>74</v>
      </c>
      <c r="P560" t="s">
        <v>74</v>
      </c>
      <c r="Q560" t="s">
        <v>74</v>
      </c>
      <c r="R560" t="s">
        <v>74</v>
      </c>
      <c r="S560" t="s">
        <v>74</v>
      </c>
      <c r="T560" t="s">
        <v>74</v>
      </c>
      <c r="U560" t="s">
        <v>7739</v>
      </c>
      <c r="V560" t="s">
        <v>7740</v>
      </c>
      <c r="W560" t="s">
        <v>7741</v>
      </c>
      <c r="X560" t="s">
        <v>7742</v>
      </c>
      <c r="Y560" t="s">
        <v>7743</v>
      </c>
      <c r="Z560" t="s">
        <v>74</v>
      </c>
      <c r="AA560" t="s">
        <v>3996</v>
      </c>
      <c r="AB560" t="s">
        <v>7744</v>
      </c>
      <c r="AC560" t="s">
        <v>74</v>
      </c>
      <c r="AD560" t="s">
        <v>74</v>
      </c>
      <c r="AE560" t="s">
        <v>74</v>
      </c>
      <c r="AF560" t="s">
        <v>74</v>
      </c>
      <c r="AG560">
        <v>16</v>
      </c>
      <c r="AH560">
        <v>19</v>
      </c>
      <c r="AI560">
        <v>20</v>
      </c>
      <c r="AJ560">
        <v>0</v>
      </c>
      <c r="AK560">
        <v>8</v>
      </c>
      <c r="AL560" t="s">
        <v>7745</v>
      </c>
      <c r="AM560" t="s">
        <v>7746</v>
      </c>
      <c r="AN560" t="s">
        <v>7747</v>
      </c>
      <c r="AO560" t="s">
        <v>7748</v>
      </c>
      <c r="AP560" t="s">
        <v>74</v>
      </c>
      <c r="AQ560" t="s">
        <v>74</v>
      </c>
      <c r="AR560" t="s">
        <v>7749</v>
      </c>
      <c r="AS560" t="s">
        <v>7750</v>
      </c>
      <c r="AT560" t="s">
        <v>7083</v>
      </c>
      <c r="AU560">
        <v>1998</v>
      </c>
      <c r="AV560">
        <v>29</v>
      </c>
      <c r="AW560">
        <v>3</v>
      </c>
      <c r="AX560" t="s">
        <v>74</v>
      </c>
      <c r="AY560" t="s">
        <v>74</v>
      </c>
      <c r="AZ560" t="s">
        <v>74</v>
      </c>
      <c r="BA560" t="s">
        <v>74</v>
      </c>
      <c r="BB560">
        <v>313</v>
      </c>
      <c r="BC560">
        <v>318</v>
      </c>
      <c r="BD560" t="s">
        <v>74</v>
      </c>
      <c r="BE560" t="s">
        <v>7751</v>
      </c>
      <c r="BF560" t="str">
        <f>HYPERLINK("http://dx.doi.org/10.1111/j.1749-7345.1998.tb00652.x","http://dx.doi.org/10.1111/j.1749-7345.1998.tb00652.x")</f>
        <v>http://dx.doi.org/10.1111/j.1749-7345.1998.tb00652.x</v>
      </c>
      <c r="BG560" t="s">
        <v>74</v>
      </c>
      <c r="BH560" t="s">
        <v>74</v>
      </c>
      <c r="BI560">
        <v>6</v>
      </c>
      <c r="BJ560" t="s">
        <v>683</v>
      </c>
      <c r="BK560" t="s">
        <v>95</v>
      </c>
      <c r="BL560" t="s">
        <v>683</v>
      </c>
      <c r="BM560" t="s">
        <v>7752</v>
      </c>
      <c r="BN560" t="s">
        <v>74</v>
      </c>
      <c r="BO560" t="s">
        <v>74</v>
      </c>
      <c r="BP560" t="s">
        <v>74</v>
      </c>
      <c r="BQ560" t="s">
        <v>74</v>
      </c>
      <c r="BR560" t="s">
        <v>98</v>
      </c>
      <c r="BS560" t="s">
        <v>7753</v>
      </c>
      <c r="BT560" t="str">
        <f>HYPERLINK("https%3A%2F%2Fwww.webofscience.com%2Fwos%2Fwoscc%2Ffull-record%2FWOS:000075984200006","View Full Record in Web of Science")</f>
        <v>View Full Record in Web of Science</v>
      </c>
    </row>
    <row r="561" spans="1:72" x14ac:dyDescent="0.15">
      <c r="A561" t="s">
        <v>72</v>
      </c>
      <c r="B561" t="s">
        <v>643</v>
      </c>
      <c r="C561" t="s">
        <v>74</v>
      </c>
      <c r="D561" t="s">
        <v>74</v>
      </c>
      <c r="E561" t="s">
        <v>74</v>
      </c>
      <c r="F561" t="s">
        <v>643</v>
      </c>
      <c r="G561" t="s">
        <v>74</v>
      </c>
      <c r="H561" t="s">
        <v>74</v>
      </c>
      <c r="I561" t="s">
        <v>7754</v>
      </c>
      <c r="J561" t="s">
        <v>1771</v>
      </c>
      <c r="K561" t="s">
        <v>74</v>
      </c>
      <c r="L561" t="s">
        <v>74</v>
      </c>
      <c r="M561" t="s">
        <v>77</v>
      </c>
      <c r="N561" t="s">
        <v>103</v>
      </c>
      <c r="O561" t="s">
        <v>74</v>
      </c>
      <c r="P561" t="s">
        <v>74</v>
      </c>
      <c r="Q561" t="s">
        <v>74</v>
      </c>
      <c r="R561" t="s">
        <v>74</v>
      </c>
      <c r="S561" t="s">
        <v>74</v>
      </c>
      <c r="T561" t="s">
        <v>74</v>
      </c>
      <c r="U561" t="s">
        <v>7755</v>
      </c>
      <c r="V561" t="s">
        <v>7756</v>
      </c>
      <c r="W561" t="s">
        <v>7757</v>
      </c>
      <c r="X561" t="s">
        <v>650</v>
      </c>
      <c r="Y561" t="s">
        <v>7758</v>
      </c>
      <c r="Z561" t="s">
        <v>74</v>
      </c>
      <c r="AA561" t="s">
        <v>653</v>
      </c>
      <c r="AB561" t="s">
        <v>7759</v>
      </c>
      <c r="AC561" t="s">
        <v>74</v>
      </c>
      <c r="AD561" t="s">
        <v>74</v>
      </c>
      <c r="AE561" t="s">
        <v>74</v>
      </c>
      <c r="AF561" t="s">
        <v>74</v>
      </c>
      <c r="AG561">
        <v>96</v>
      </c>
      <c r="AH561">
        <v>79</v>
      </c>
      <c r="AI561">
        <v>89</v>
      </c>
      <c r="AJ561">
        <v>3</v>
      </c>
      <c r="AK561">
        <v>52</v>
      </c>
      <c r="AL561" t="s">
        <v>4482</v>
      </c>
      <c r="AM561" t="s">
        <v>4483</v>
      </c>
      <c r="AN561" t="s">
        <v>4484</v>
      </c>
      <c r="AO561" t="s">
        <v>1778</v>
      </c>
      <c r="AP561" t="s">
        <v>74</v>
      </c>
      <c r="AQ561" t="s">
        <v>74</v>
      </c>
      <c r="AR561" t="s">
        <v>1780</v>
      </c>
      <c r="AS561" t="s">
        <v>1781</v>
      </c>
      <c r="AT561" t="s">
        <v>7083</v>
      </c>
      <c r="AU561">
        <v>1998</v>
      </c>
      <c r="AV561">
        <v>43</v>
      </c>
      <c r="AW561">
        <v>6</v>
      </c>
      <c r="AX561" t="s">
        <v>74</v>
      </c>
      <c r="AY561" t="s">
        <v>74</v>
      </c>
      <c r="AZ561" t="s">
        <v>74</v>
      </c>
      <c r="BA561" t="s">
        <v>74</v>
      </c>
      <c r="BB561">
        <v>1065</v>
      </c>
      <c r="BC561">
        <v>1081</v>
      </c>
      <c r="BD561" t="s">
        <v>74</v>
      </c>
      <c r="BE561" t="s">
        <v>7760</v>
      </c>
      <c r="BF561" t="str">
        <f>HYPERLINK("http://dx.doi.org/10.4319/lo.1998.43.6.1065","http://dx.doi.org/10.4319/lo.1998.43.6.1065")</f>
        <v>http://dx.doi.org/10.4319/lo.1998.43.6.1065</v>
      </c>
      <c r="BG561" t="s">
        <v>74</v>
      </c>
      <c r="BH561" t="s">
        <v>74</v>
      </c>
      <c r="BI561">
        <v>17</v>
      </c>
      <c r="BJ561" t="s">
        <v>1783</v>
      </c>
      <c r="BK561" t="s">
        <v>95</v>
      </c>
      <c r="BL561" t="s">
        <v>1128</v>
      </c>
      <c r="BM561" t="s">
        <v>7761</v>
      </c>
      <c r="BN561" t="s">
        <v>74</v>
      </c>
      <c r="BO561" t="s">
        <v>1089</v>
      </c>
      <c r="BP561" t="s">
        <v>74</v>
      </c>
      <c r="BQ561" t="s">
        <v>74</v>
      </c>
      <c r="BR561" t="s">
        <v>98</v>
      </c>
      <c r="BS561" t="s">
        <v>7762</v>
      </c>
      <c r="BT561" t="str">
        <f>HYPERLINK("https%3A%2F%2Fwww.webofscience.com%2Fwos%2Fwoscc%2Ffull-record%2FWOS:000076791700004","View Full Record in Web of Science")</f>
        <v>View Full Record in Web of Science</v>
      </c>
    </row>
    <row r="562" spans="1:72" x14ac:dyDescent="0.15">
      <c r="A562" t="s">
        <v>72</v>
      </c>
      <c r="B562" t="s">
        <v>7763</v>
      </c>
      <c r="C562" t="s">
        <v>74</v>
      </c>
      <c r="D562" t="s">
        <v>74</v>
      </c>
      <c r="E562" t="s">
        <v>74</v>
      </c>
      <c r="F562" t="s">
        <v>7763</v>
      </c>
      <c r="G562" t="s">
        <v>74</v>
      </c>
      <c r="H562" t="s">
        <v>74</v>
      </c>
      <c r="I562" t="s">
        <v>7764</v>
      </c>
      <c r="J562" t="s">
        <v>1842</v>
      </c>
      <c r="K562" t="s">
        <v>74</v>
      </c>
      <c r="L562" t="s">
        <v>74</v>
      </c>
      <c r="M562" t="s">
        <v>77</v>
      </c>
      <c r="N562" t="s">
        <v>103</v>
      </c>
      <c r="O562" t="s">
        <v>74</v>
      </c>
      <c r="P562" t="s">
        <v>74</v>
      </c>
      <c r="Q562" t="s">
        <v>74</v>
      </c>
      <c r="R562" t="s">
        <v>74</v>
      </c>
      <c r="S562" t="s">
        <v>74</v>
      </c>
      <c r="T562" t="s">
        <v>74</v>
      </c>
      <c r="U562" t="s">
        <v>7765</v>
      </c>
      <c r="V562" t="s">
        <v>7766</v>
      </c>
      <c r="W562" t="s">
        <v>7767</v>
      </c>
      <c r="X562" t="s">
        <v>2052</v>
      </c>
      <c r="Y562" t="s">
        <v>7768</v>
      </c>
      <c r="Z562" t="s">
        <v>7769</v>
      </c>
      <c r="AA562" t="s">
        <v>2055</v>
      </c>
      <c r="AB562" t="s">
        <v>74</v>
      </c>
      <c r="AC562" t="s">
        <v>74</v>
      </c>
      <c r="AD562" t="s">
        <v>74</v>
      </c>
      <c r="AE562" t="s">
        <v>74</v>
      </c>
      <c r="AF562" t="s">
        <v>74</v>
      </c>
      <c r="AG562">
        <v>25</v>
      </c>
      <c r="AH562">
        <v>17</v>
      </c>
      <c r="AI562">
        <v>18</v>
      </c>
      <c r="AJ562">
        <v>0</v>
      </c>
      <c r="AK562">
        <v>7</v>
      </c>
      <c r="AL562" t="s">
        <v>887</v>
      </c>
      <c r="AM562" t="s">
        <v>278</v>
      </c>
      <c r="AN562" t="s">
        <v>888</v>
      </c>
      <c r="AO562" t="s">
        <v>1848</v>
      </c>
      <c r="AP562" t="s">
        <v>74</v>
      </c>
      <c r="AQ562" t="s">
        <v>74</v>
      </c>
      <c r="AR562" t="s">
        <v>1849</v>
      </c>
      <c r="AS562" t="s">
        <v>1850</v>
      </c>
      <c r="AT562" t="s">
        <v>7083</v>
      </c>
      <c r="AU562">
        <v>1998</v>
      </c>
      <c r="AV562">
        <v>132</v>
      </c>
      <c r="AW562">
        <v>2</v>
      </c>
      <c r="AX562" t="s">
        <v>74</v>
      </c>
      <c r="AY562" t="s">
        <v>74</v>
      </c>
      <c r="AZ562" t="s">
        <v>74</v>
      </c>
      <c r="BA562" t="s">
        <v>74</v>
      </c>
      <c r="BB562">
        <v>259</v>
      </c>
      <c r="BC562">
        <v>265</v>
      </c>
      <c r="BD562" t="s">
        <v>74</v>
      </c>
      <c r="BE562" t="s">
        <v>7770</v>
      </c>
      <c r="BF562" t="str">
        <f>HYPERLINK("http://dx.doi.org/10.1007/s002270050391","http://dx.doi.org/10.1007/s002270050391")</f>
        <v>http://dx.doi.org/10.1007/s002270050391</v>
      </c>
      <c r="BG562" t="s">
        <v>74</v>
      </c>
      <c r="BH562" t="s">
        <v>74</v>
      </c>
      <c r="BI562">
        <v>7</v>
      </c>
      <c r="BJ562" t="s">
        <v>212</v>
      </c>
      <c r="BK562" t="s">
        <v>95</v>
      </c>
      <c r="BL562" t="s">
        <v>212</v>
      </c>
      <c r="BM562" t="s">
        <v>7771</v>
      </c>
      <c r="BN562" t="s">
        <v>74</v>
      </c>
      <c r="BO562" t="s">
        <v>74</v>
      </c>
      <c r="BP562" t="s">
        <v>74</v>
      </c>
      <c r="BQ562" t="s">
        <v>74</v>
      </c>
      <c r="BR562" t="s">
        <v>98</v>
      </c>
      <c r="BS562" t="s">
        <v>7772</v>
      </c>
      <c r="BT562" t="str">
        <f>HYPERLINK("https%3A%2F%2Fwww.webofscience.com%2Fwos%2Fwoscc%2Ffull-record%2FWOS:000076453700009","View Full Record in Web of Science")</f>
        <v>View Full Record in Web of Science</v>
      </c>
    </row>
    <row r="563" spans="1:72" x14ac:dyDescent="0.15">
      <c r="A563" t="s">
        <v>72</v>
      </c>
      <c r="B563" t="s">
        <v>7773</v>
      </c>
      <c r="C563" t="s">
        <v>74</v>
      </c>
      <c r="D563" t="s">
        <v>74</v>
      </c>
      <c r="E563" t="s">
        <v>74</v>
      </c>
      <c r="F563" t="s">
        <v>7773</v>
      </c>
      <c r="G563" t="s">
        <v>74</v>
      </c>
      <c r="H563" t="s">
        <v>74</v>
      </c>
      <c r="I563" t="s">
        <v>7774</v>
      </c>
      <c r="J563" t="s">
        <v>1842</v>
      </c>
      <c r="K563" t="s">
        <v>74</v>
      </c>
      <c r="L563" t="s">
        <v>74</v>
      </c>
      <c r="M563" t="s">
        <v>77</v>
      </c>
      <c r="N563" t="s">
        <v>103</v>
      </c>
      <c r="O563" t="s">
        <v>74</v>
      </c>
      <c r="P563" t="s">
        <v>74</v>
      </c>
      <c r="Q563" t="s">
        <v>74</v>
      </c>
      <c r="R563" t="s">
        <v>74</v>
      </c>
      <c r="S563" t="s">
        <v>74</v>
      </c>
      <c r="T563" t="s">
        <v>74</v>
      </c>
      <c r="U563" t="s">
        <v>7775</v>
      </c>
      <c r="V563" t="s">
        <v>7776</v>
      </c>
      <c r="W563" t="s">
        <v>3611</v>
      </c>
      <c r="X563" t="s">
        <v>509</v>
      </c>
      <c r="Y563" t="s">
        <v>7777</v>
      </c>
      <c r="Z563" t="s">
        <v>74</v>
      </c>
      <c r="AA563" t="s">
        <v>7778</v>
      </c>
      <c r="AB563" t="s">
        <v>7779</v>
      </c>
      <c r="AC563" t="s">
        <v>74</v>
      </c>
      <c r="AD563" t="s">
        <v>74</v>
      </c>
      <c r="AE563" t="s">
        <v>74</v>
      </c>
      <c r="AF563" t="s">
        <v>74</v>
      </c>
      <c r="AG563">
        <v>30</v>
      </c>
      <c r="AH563">
        <v>34</v>
      </c>
      <c r="AI563">
        <v>36</v>
      </c>
      <c r="AJ563">
        <v>1</v>
      </c>
      <c r="AK563">
        <v>10</v>
      </c>
      <c r="AL563" t="s">
        <v>1059</v>
      </c>
      <c r="AM563" t="s">
        <v>1060</v>
      </c>
      <c r="AN563" t="s">
        <v>1061</v>
      </c>
      <c r="AO563" t="s">
        <v>1848</v>
      </c>
      <c r="AP563" t="s">
        <v>4496</v>
      </c>
      <c r="AQ563" t="s">
        <v>74</v>
      </c>
      <c r="AR563" t="s">
        <v>1849</v>
      </c>
      <c r="AS563" t="s">
        <v>1850</v>
      </c>
      <c r="AT563" t="s">
        <v>7083</v>
      </c>
      <c r="AU563">
        <v>1998</v>
      </c>
      <c r="AV563">
        <v>132</v>
      </c>
      <c r="AW563">
        <v>2</v>
      </c>
      <c r="AX563" t="s">
        <v>74</v>
      </c>
      <c r="AY563" t="s">
        <v>74</v>
      </c>
      <c r="AZ563" t="s">
        <v>74</v>
      </c>
      <c r="BA563" t="s">
        <v>74</v>
      </c>
      <c r="BB563">
        <v>327</v>
      </c>
      <c r="BC563">
        <v>333</v>
      </c>
      <c r="BD563" t="s">
        <v>74</v>
      </c>
      <c r="BE563" t="s">
        <v>7780</v>
      </c>
      <c r="BF563" t="str">
        <f>HYPERLINK("http://dx.doi.org/10.1007/s002270050398","http://dx.doi.org/10.1007/s002270050398")</f>
        <v>http://dx.doi.org/10.1007/s002270050398</v>
      </c>
      <c r="BG563" t="s">
        <v>74</v>
      </c>
      <c r="BH563" t="s">
        <v>74</v>
      </c>
      <c r="BI563">
        <v>7</v>
      </c>
      <c r="BJ563" t="s">
        <v>212</v>
      </c>
      <c r="BK563" t="s">
        <v>95</v>
      </c>
      <c r="BL563" t="s">
        <v>212</v>
      </c>
      <c r="BM563" t="s">
        <v>7771</v>
      </c>
      <c r="BN563" t="s">
        <v>74</v>
      </c>
      <c r="BO563" t="s">
        <v>483</v>
      </c>
      <c r="BP563" t="s">
        <v>74</v>
      </c>
      <c r="BQ563" t="s">
        <v>74</v>
      </c>
      <c r="BR563" t="s">
        <v>98</v>
      </c>
      <c r="BS563" t="s">
        <v>7781</v>
      </c>
      <c r="BT563" t="str">
        <f>HYPERLINK("https%3A%2F%2Fwww.webofscience.com%2Fwos%2Fwoscc%2Ffull-record%2FWOS:000076453700016","View Full Record in Web of Science")</f>
        <v>View Full Record in Web of Science</v>
      </c>
    </row>
    <row r="564" spans="1:72" x14ac:dyDescent="0.15">
      <c r="A564" t="s">
        <v>72</v>
      </c>
      <c r="B564" t="s">
        <v>7782</v>
      </c>
      <c r="C564" t="s">
        <v>74</v>
      </c>
      <c r="D564" t="s">
        <v>74</v>
      </c>
      <c r="E564" t="s">
        <v>74</v>
      </c>
      <c r="F564" t="s">
        <v>7782</v>
      </c>
      <c r="G564" t="s">
        <v>74</v>
      </c>
      <c r="H564" t="s">
        <v>74</v>
      </c>
      <c r="I564" t="s">
        <v>7783</v>
      </c>
      <c r="J564" t="s">
        <v>1842</v>
      </c>
      <c r="K564" t="s">
        <v>74</v>
      </c>
      <c r="L564" t="s">
        <v>74</v>
      </c>
      <c r="M564" t="s">
        <v>77</v>
      </c>
      <c r="N564" t="s">
        <v>103</v>
      </c>
      <c r="O564" t="s">
        <v>74</v>
      </c>
      <c r="P564" t="s">
        <v>74</v>
      </c>
      <c r="Q564" t="s">
        <v>74</v>
      </c>
      <c r="R564" t="s">
        <v>74</v>
      </c>
      <c r="S564" t="s">
        <v>74</v>
      </c>
      <c r="T564" t="s">
        <v>74</v>
      </c>
      <c r="U564" t="s">
        <v>7784</v>
      </c>
      <c r="V564" t="s">
        <v>7785</v>
      </c>
      <c r="W564" t="s">
        <v>7786</v>
      </c>
      <c r="X564" t="s">
        <v>7787</v>
      </c>
      <c r="Y564" t="s">
        <v>7788</v>
      </c>
      <c r="Z564" t="s">
        <v>74</v>
      </c>
      <c r="AA564" t="s">
        <v>74</v>
      </c>
      <c r="AB564" t="s">
        <v>74</v>
      </c>
      <c r="AC564" t="s">
        <v>74</v>
      </c>
      <c r="AD564" t="s">
        <v>74</v>
      </c>
      <c r="AE564" t="s">
        <v>74</v>
      </c>
      <c r="AF564" t="s">
        <v>74</v>
      </c>
      <c r="AG564">
        <v>58</v>
      </c>
      <c r="AH564">
        <v>24</v>
      </c>
      <c r="AI564">
        <v>25</v>
      </c>
      <c r="AJ564">
        <v>1</v>
      </c>
      <c r="AK564">
        <v>11</v>
      </c>
      <c r="AL564" t="s">
        <v>1059</v>
      </c>
      <c r="AM564" t="s">
        <v>1060</v>
      </c>
      <c r="AN564" t="s">
        <v>1061</v>
      </c>
      <c r="AO564" t="s">
        <v>1848</v>
      </c>
      <c r="AP564" t="s">
        <v>4496</v>
      </c>
      <c r="AQ564" t="s">
        <v>74</v>
      </c>
      <c r="AR564" t="s">
        <v>1849</v>
      </c>
      <c r="AS564" t="s">
        <v>1850</v>
      </c>
      <c r="AT564" t="s">
        <v>7083</v>
      </c>
      <c r="AU564">
        <v>1998</v>
      </c>
      <c r="AV564">
        <v>132</v>
      </c>
      <c r="AW564">
        <v>2</v>
      </c>
      <c r="AX564" t="s">
        <v>74</v>
      </c>
      <c r="AY564" t="s">
        <v>74</v>
      </c>
      <c r="AZ564" t="s">
        <v>74</v>
      </c>
      <c r="BA564" t="s">
        <v>74</v>
      </c>
      <c r="BB564">
        <v>335</v>
      </c>
      <c r="BC564">
        <v>345</v>
      </c>
      <c r="BD564" t="s">
        <v>74</v>
      </c>
      <c r="BE564" t="s">
        <v>7789</v>
      </c>
      <c r="BF564" t="str">
        <f>HYPERLINK("http://dx.doi.org/10.1007/s002270050399","http://dx.doi.org/10.1007/s002270050399")</f>
        <v>http://dx.doi.org/10.1007/s002270050399</v>
      </c>
      <c r="BG564" t="s">
        <v>74</v>
      </c>
      <c r="BH564" t="s">
        <v>74</v>
      </c>
      <c r="BI564">
        <v>11</v>
      </c>
      <c r="BJ564" t="s">
        <v>212</v>
      </c>
      <c r="BK564" t="s">
        <v>95</v>
      </c>
      <c r="BL564" t="s">
        <v>212</v>
      </c>
      <c r="BM564" t="s">
        <v>7771</v>
      </c>
      <c r="BN564" t="s">
        <v>74</v>
      </c>
      <c r="BO564" t="s">
        <v>74</v>
      </c>
      <c r="BP564" t="s">
        <v>74</v>
      </c>
      <c r="BQ564" t="s">
        <v>74</v>
      </c>
      <c r="BR564" t="s">
        <v>98</v>
      </c>
      <c r="BS564" t="s">
        <v>7790</v>
      </c>
      <c r="BT564" t="str">
        <f>HYPERLINK("https%3A%2F%2Fwww.webofscience.com%2Fwos%2Fwoscc%2Ffull-record%2FWOS:000076453700017","View Full Record in Web of Science")</f>
        <v>View Full Record in Web of Science</v>
      </c>
    </row>
    <row r="565" spans="1:72" x14ac:dyDescent="0.15">
      <c r="A565" t="s">
        <v>72</v>
      </c>
      <c r="B565" t="s">
        <v>7791</v>
      </c>
      <c r="C565" t="s">
        <v>74</v>
      </c>
      <c r="D565" t="s">
        <v>74</v>
      </c>
      <c r="E565" t="s">
        <v>74</v>
      </c>
      <c r="F565" t="s">
        <v>7791</v>
      </c>
      <c r="G565" t="s">
        <v>74</v>
      </c>
      <c r="H565" t="s">
        <v>74</v>
      </c>
      <c r="I565" t="s">
        <v>7792</v>
      </c>
      <c r="J565" t="s">
        <v>4502</v>
      </c>
      <c r="K565" t="s">
        <v>74</v>
      </c>
      <c r="L565" t="s">
        <v>74</v>
      </c>
      <c r="M565" t="s">
        <v>77</v>
      </c>
      <c r="N565" t="s">
        <v>1545</v>
      </c>
      <c r="O565" t="s">
        <v>74</v>
      </c>
      <c r="P565" t="s">
        <v>74</v>
      </c>
      <c r="Q565" t="s">
        <v>74</v>
      </c>
      <c r="R565" t="s">
        <v>74</v>
      </c>
      <c r="S565" t="s">
        <v>74</v>
      </c>
      <c r="T565" t="s">
        <v>7793</v>
      </c>
      <c r="U565" t="s">
        <v>7794</v>
      </c>
      <c r="V565" t="s">
        <v>7795</v>
      </c>
      <c r="W565" t="s">
        <v>7796</v>
      </c>
      <c r="X565" t="s">
        <v>7797</v>
      </c>
      <c r="Y565" t="s">
        <v>7124</v>
      </c>
      <c r="Z565" t="s">
        <v>7798</v>
      </c>
      <c r="AA565" t="s">
        <v>7799</v>
      </c>
      <c r="AB565" t="s">
        <v>7800</v>
      </c>
      <c r="AC565" t="s">
        <v>74</v>
      </c>
      <c r="AD565" t="s">
        <v>74</v>
      </c>
      <c r="AE565" t="s">
        <v>74</v>
      </c>
      <c r="AF565" t="s">
        <v>74</v>
      </c>
      <c r="AG565">
        <v>25</v>
      </c>
      <c r="AH565">
        <v>39</v>
      </c>
      <c r="AI565">
        <v>41</v>
      </c>
      <c r="AJ565">
        <v>2</v>
      </c>
      <c r="AK565">
        <v>9</v>
      </c>
      <c r="AL565" t="s">
        <v>3722</v>
      </c>
      <c r="AM565" t="s">
        <v>1038</v>
      </c>
      <c r="AN565" t="s">
        <v>3723</v>
      </c>
      <c r="AO565" t="s">
        <v>4509</v>
      </c>
      <c r="AP565" t="s">
        <v>7801</v>
      </c>
      <c r="AQ565" t="s">
        <v>74</v>
      </c>
      <c r="AR565" t="s">
        <v>4510</v>
      </c>
      <c r="AS565" t="s">
        <v>4511</v>
      </c>
      <c r="AT565" t="s">
        <v>7083</v>
      </c>
      <c r="AU565">
        <v>1998</v>
      </c>
      <c r="AV565">
        <v>150</v>
      </c>
      <c r="AW565" t="s">
        <v>5317</v>
      </c>
      <c r="AX565" t="s">
        <v>74</v>
      </c>
      <c r="AY565" t="s">
        <v>74</v>
      </c>
      <c r="AZ565" t="s">
        <v>74</v>
      </c>
      <c r="BA565" t="s">
        <v>74</v>
      </c>
      <c r="BB565">
        <v>171</v>
      </c>
      <c r="BC565">
        <v>177</v>
      </c>
      <c r="BD565" t="s">
        <v>74</v>
      </c>
      <c r="BE565" t="s">
        <v>7802</v>
      </c>
      <c r="BF565" t="str">
        <f>HYPERLINK("http://dx.doi.org/10.1016/S0025-3227(98)00040-1","http://dx.doi.org/10.1016/S0025-3227(98)00040-1")</f>
        <v>http://dx.doi.org/10.1016/S0025-3227(98)00040-1</v>
      </c>
      <c r="BG565" t="s">
        <v>74</v>
      </c>
      <c r="BH565" t="s">
        <v>74</v>
      </c>
      <c r="BI565">
        <v>7</v>
      </c>
      <c r="BJ565" t="s">
        <v>893</v>
      </c>
      <c r="BK565" t="s">
        <v>95</v>
      </c>
      <c r="BL565" t="s">
        <v>894</v>
      </c>
      <c r="BM565" t="s">
        <v>7803</v>
      </c>
      <c r="BN565" t="s">
        <v>74</v>
      </c>
      <c r="BO565" t="s">
        <v>74</v>
      </c>
      <c r="BP565" t="s">
        <v>74</v>
      </c>
      <c r="BQ565" t="s">
        <v>74</v>
      </c>
      <c r="BR565" t="s">
        <v>98</v>
      </c>
      <c r="BS565" t="s">
        <v>7804</v>
      </c>
      <c r="BT565" t="str">
        <f>HYPERLINK("https%3A%2F%2Fwww.webofscience.com%2Fwos%2Fwoscc%2Ffull-record%2FWOS:000076889600010","View Full Record in Web of Science")</f>
        <v>View Full Record in Web of Science</v>
      </c>
    </row>
    <row r="566" spans="1:72" x14ac:dyDescent="0.15">
      <c r="A566" t="s">
        <v>72</v>
      </c>
      <c r="B566" t="s">
        <v>7805</v>
      </c>
      <c r="C566" t="s">
        <v>74</v>
      </c>
      <c r="D566" t="s">
        <v>74</v>
      </c>
      <c r="E566" t="s">
        <v>74</v>
      </c>
      <c r="F566" t="s">
        <v>7805</v>
      </c>
      <c r="G566" t="s">
        <v>74</v>
      </c>
      <c r="H566" t="s">
        <v>74</v>
      </c>
      <c r="I566" t="s">
        <v>7806</v>
      </c>
      <c r="J566" t="s">
        <v>7807</v>
      </c>
      <c r="K566" t="s">
        <v>74</v>
      </c>
      <c r="L566" t="s">
        <v>74</v>
      </c>
      <c r="M566" t="s">
        <v>77</v>
      </c>
      <c r="N566" t="s">
        <v>103</v>
      </c>
      <c r="O566" t="s">
        <v>74</v>
      </c>
      <c r="P566" t="s">
        <v>74</v>
      </c>
      <c r="Q566" t="s">
        <v>74</v>
      </c>
      <c r="R566" t="s">
        <v>74</v>
      </c>
      <c r="S566" t="s">
        <v>74</v>
      </c>
      <c r="T566" t="s">
        <v>7808</v>
      </c>
      <c r="U566" t="s">
        <v>7809</v>
      </c>
      <c r="V566" t="s">
        <v>7810</v>
      </c>
      <c r="W566" t="s">
        <v>508</v>
      </c>
      <c r="X566" t="s">
        <v>509</v>
      </c>
      <c r="Y566" t="s">
        <v>7811</v>
      </c>
      <c r="Z566" t="s">
        <v>7812</v>
      </c>
      <c r="AA566" t="s">
        <v>74</v>
      </c>
      <c r="AB566" t="s">
        <v>74</v>
      </c>
      <c r="AC566" t="s">
        <v>74</v>
      </c>
      <c r="AD566" t="s">
        <v>74</v>
      </c>
      <c r="AE566" t="s">
        <v>74</v>
      </c>
      <c r="AF566" t="s">
        <v>74</v>
      </c>
      <c r="AG566">
        <v>98</v>
      </c>
      <c r="AH566">
        <v>54</v>
      </c>
      <c r="AI566">
        <v>56</v>
      </c>
      <c r="AJ566">
        <v>0</v>
      </c>
      <c r="AK566">
        <v>5</v>
      </c>
      <c r="AL566" t="s">
        <v>3722</v>
      </c>
      <c r="AM566" t="s">
        <v>1038</v>
      </c>
      <c r="AN566" t="s">
        <v>3723</v>
      </c>
      <c r="AO566" t="s">
        <v>7813</v>
      </c>
      <c r="AP566" t="s">
        <v>7814</v>
      </c>
      <c r="AQ566" t="s">
        <v>74</v>
      </c>
      <c r="AR566" t="s">
        <v>7815</v>
      </c>
      <c r="AS566" t="s">
        <v>7816</v>
      </c>
      <c r="AT566" t="s">
        <v>7083</v>
      </c>
      <c r="AU566">
        <v>1998</v>
      </c>
      <c r="AV566">
        <v>34</v>
      </c>
      <c r="AW566" t="s">
        <v>1282</v>
      </c>
      <c r="AX566" t="s">
        <v>74</v>
      </c>
      <c r="AY566" t="s">
        <v>74</v>
      </c>
      <c r="AZ566" t="s">
        <v>74</v>
      </c>
      <c r="BA566" t="s">
        <v>74</v>
      </c>
      <c r="BB566">
        <v>213</v>
      </c>
      <c r="BC566">
        <v>234</v>
      </c>
      <c r="BD566" t="s">
        <v>74</v>
      </c>
      <c r="BE566" t="s">
        <v>7817</v>
      </c>
      <c r="BF566" t="str">
        <f>HYPERLINK("http://dx.doi.org/10.1016/S0377-8398(98)00009-7","http://dx.doi.org/10.1016/S0377-8398(98)00009-7")</f>
        <v>http://dx.doi.org/10.1016/S0377-8398(98)00009-7</v>
      </c>
      <c r="BG566" t="s">
        <v>74</v>
      </c>
      <c r="BH566" t="s">
        <v>74</v>
      </c>
      <c r="BI566">
        <v>22</v>
      </c>
      <c r="BJ566" t="s">
        <v>2287</v>
      </c>
      <c r="BK566" t="s">
        <v>95</v>
      </c>
      <c r="BL566" t="s">
        <v>2287</v>
      </c>
      <c r="BM566" t="s">
        <v>7818</v>
      </c>
      <c r="BN566" t="s">
        <v>74</v>
      </c>
      <c r="BO566" t="s">
        <v>74</v>
      </c>
      <c r="BP566" t="s">
        <v>74</v>
      </c>
      <c r="BQ566" t="s">
        <v>74</v>
      </c>
      <c r="BR566" t="s">
        <v>98</v>
      </c>
      <c r="BS566" t="s">
        <v>7819</v>
      </c>
      <c r="BT566" t="str">
        <f>HYPERLINK("https%3A%2F%2Fwww.webofscience.com%2Fwos%2Fwoscc%2Ffull-record%2FWOS:000077105800004","View Full Record in Web of Science")</f>
        <v>View Full Record in Web of Science</v>
      </c>
    </row>
    <row r="567" spans="1:72" x14ac:dyDescent="0.15">
      <c r="A567" t="s">
        <v>72</v>
      </c>
      <c r="B567" t="s">
        <v>7820</v>
      </c>
      <c r="C567" t="s">
        <v>74</v>
      </c>
      <c r="D567" t="s">
        <v>74</v>
      </c>
      <c r="E567" t="s">
        <v>74</v>
      </c>
      <c r="F567" t="s">
        <v>7820</v>
      </c>
      <c r="G567" t="s">
        <v>74</v>
      </c>
      <c r="H567" t="s">
        <v>74</v>
      </c>
      <c r="I567" t="s">
        <v>7821</v>
      </c>
      <c r="J567" t="s">
        <v>2236</v>
      </c>
      <c r="K567" t="s">
        <v>74</v>
      </c>
      <c r="L567" t="s">
        <v>74</v>
      </c>
      <c r="M567" t="s">
        <v>77</v>
      </c>
      <c r="N567" t="s">
        <v>103</v>
      </c>
      <c r="O567" t="s">
        <v>74</v>
      </c>
      <c r="P567" t="s">
        <v>74</v>
      </c>
      <c r="Q567" t="s">
        <v>74</v>
      </c>
      <c r="R567" t="s">
        <v>74</v>
      </c>
      <c r="S567" t="s">
        <v>74</v>
      </c>
      <c r="T567" t="s">
        <v>74</v>
      </c>
      <c r="U567" t="s">
        <v>7822</v>
      </c>
      <c r="V567" t="s">
        <v>7823</v>
      </c>
      <c r="W567" t="s">
        <v>7824</v>
      </c>
      <c r="X567" t="s">
        <v>7825</v>
      </c>
      <c r="Y567" t="s">
        <v>7826</v>
      </c>
      <c r="Z567" t="s">
        <v>7827</v>
      </c>
      <c r="AA567" t="s">
        <v>7828</v>
      </c>
      <c r="AB567" t="s">
        <v>7829</v>
      </c>
      <c r="AC567" t="s">
        <v>74</v>
      </c>
      <c r="AD567" t="s">
        <v>74</v>
      </c>
      <c r="AE567" t="s">
        <v>74</v>
      </c>
      <c r="AF567" t="s">
        <v>74</v>
      </c>
      <c r="AG567">
        <v>32</v>
      </c>
      <c r="AH567">
        <v>10</v>
      </c>
      <c r="AI567">
        <v>11</v>
      </c>
      <c r="AJ567">
        <v>0</v>
      </c>
      <c r="AK567">
        <v>5</v>
      </c>
      <c r="AL567" t="s">
        <v>2242</v>
      </c>
      <c r="AM567" t="s">
        <v>2243</v>
      </c>
      <c r="AN567" t="s">
        <v>2244</v>
      </c>
      <c r="AO567" t="s">
        <v>2245</v>
      </c>
      <c r="AP567" t="s">
        <v>74</v>
      </c>
      <c r="AQ567" t="s">
        <v>74</v>
      </c>
      <c r="AR567" t="s">
        <v>2246</v>
      </c>
      <c r="AS567" t="s">
        <v>2247</v>
      </c>
      <c r="AT567" t="s">
        <v>7083</v>
      </c>
      <c r="AU567">
        <v>1998</v>
      </c>
      <c r="AV567">
        <v>33</v>
      </c>
      <c r="AW567">
        <v>5</v>
      </c>
      <c r="AX567" t="s">
        <v>74</v>
      </c>
      <c r="AY567" t="s">
        <v>74</v>
      </c>
      <c r="AZ567" t="s">
        <v>74</v>
      </c>
      <c r="BA567" t="s">
        <v>74</v>
      </c>
      <c r="BB567">
        <v>1033</v>
      </c>
      <c r="BC567">
        <v>1040</v>
      </c>
      <c r="BD567" t="s">
        <v>74</v>
      </c>
      <c r="BE567" t="s">
        <v>7830</v>
      </c>
      <c r="BF567" t="str">
        <f>HYPERLINK("http://dx.doi.org/10.1111/j.1945-5100.1998.tb01710.x","http://dx.doi.org/10.1111/j.1945-5100.1998.tb01710.x")</f>
        <v>http://dx.doi.org/10.1111/j.1945-5100.1998.tb01710.x</v>
      </c>
      <c r="BG567" t="s">
        <v>74</v>
      </c>
      <c r="BH567" t="s">
        <v>74</v>
      </c>
      <c r="BI567">
        <v>8</v>
      </c>
      <c r="BJ567" t="s">
        <v>303</v>
      </c>
      <c r="BK567" t="s">
        <v>95</v>
      </c>
      <c r="BL567" t="s">
        <v>303</v>
      </c>
      <c r="BM567" t="s">
        <v>7831</v>
      </c>
      <c r="BN567" t="s">
        <v>74</v>
      </c>
      <c r="BO567" t="s">
        <v>1089</v>
      </c>
      <c r="BP567" t="s">
        <v>74</v>
      </c>
      <c r="BQ567" t="s">
        <v>74</v>
      </c>
      <c r="BR567" t="s">
        <v>98</v>
      </c>
      <c r="BS567" t="s">
        <v>7832</v>
      </c>
      <c r="BT567" t="str">
        <f>HYPERLINK("https%3A%2F%2Fwww.webofscience.com%2Fwos%2Fwoscc%2Ffull-record%2FWOS:000076555100010","View Full Record in Web of Science")</f>
        <v>View Full Record in Web of Science</v>
      </c>
    </row>
    <row r="568" spans="1:72" x14ac:dyDescent="0.15">
      <c r="A568" t="s">
        <v>72</v>
      </c>
      <c r="B568" t="s">
        <v>7833</v>
      </c>
      <c r="C568" t="s">
        <v>74</v>
      </c>
      <c r="D568" t="s">
        <v>74</v>
      </c>
      <c r="E568" t="s">
        <v>74</v>
      </c>
      <c r="F568" t="s">
        <v>7833</v>
      </c>
      <c r="G568" t="s">
        <v>74</v>
      </c>
      <c r="H568" t="s">
        <v>74</v>
      </c>
      <c r="I568" t="s">
        <v>7834</v>
      </c>
      <c r="J568" t="s">
        <v>5726</v>
      </c>
      <c r="K568" t="s">
        <v>74</v>
      </c>
      <c r="L568" t="s">
        <v>74</v>
      </c>
      <c r="M568" t="s">
        <v>77</v>
      </c>
      <c r="N568" t="s">
        <v>103</v>
      </c>
      <c r="O568" t="s">
        <v>74</v>
      </c>
      <c r="P568" t="s">
        <v>74</v>
      </c>
      <c r="Q568" t="s">
        <v>74</v>
      </c>
      <c r="R568" t="s">
        <v>74</v>
      </c>
      <c r="S568" t="s">
        <v>74</v>
      </c>
      <c r="T568" t="s">
        <v>74</v>
      </c>
      <c r="U568" t="s">
        <v>7835</v>
      </c>
      <c r="V568" t="s">
        <v>7836</v>
      </c>
      <c r="W568" t="s">
        <v>1437</v>
      </c>
      <c r="X568" t="s">
        <v>628</v>
      </c>
      <c r="Y568" t="s">
        <v>7837</v>
      </c>
      <c r="Z568" t="s">
        <v>74</v>
      </c>
      <c r="AA568" t="s">
        <v>74</v>
      </c>
      <c r="AB568" t="s">
        <v>74</v>
      </c>
      <c r="AC568" t="s">
        <v>74</v>
      </c>
      <c r="AD568" t="s">
        <v>74</v>
      </c>
      <c r="AE568" t="s">
        <v>74</v>
      </c>
      <c r="AF568" t="s">
        <v>74</v>
      </c>
      <c r="AG568">
        <v>21</v>
      </c>
      <c r="AH568">
        <v>40</v>
      </c>
      <c r="AI568">
        <v>47</v>
      </c>
      <c r="AJ568">
        <v>0</v>
      </c>
      <c r="AK568">
        <v>14</v>
      </c>
      <c r="AL568" t="s">
        <v>887</v>
      </c>
      <c r="AM568" t="s">
        <v>278</v>
      </c>
      <c r="AN568" t="s">
        <v>888</v>
      </c>
      <c r="AO568" t="s">
        <v>5734</v>
      </c>
      <c r="AP568" t="s">
        <v>74</v>
      </c>
      <c r="AQ568" t="s">
        <v>74</v>
      </c>
      <c r="AR568" t="s">
        <v>5735</v>
      </c>
      <c r="AS568" t="s">
        <v>5736</v>
      </c>
      <c r="AT568" t="s">
        <v>7468</v>
      </c>
      <c r="AU568">
        <v>1998</v>
      </c>
      <c r="AV568">
        <v>36</v>
      </c>
      <c r="AW568">
        <v>2</v>
      </c>
      <c r="AX568" t="s">
        <v>74</v>
      </c>
      <c r="AY568" t="s">
        <v>74</v>
      </c>
      <c r="AZ568" t="s">
        <v>74</v>
      </c>
      <c r="BA568" t="s">
        <v>74</v>
      </c>
      <c r="BB568">
        <v>212</v>
      </c>
      <c r="BC568">
        <v>219</v>
      </c>
      <c r="BD568" t="s">
        <v>74</v>
      </c>
      <c r="BE568" t="s">
        <v>7838</v>
      </c>
      <c r="BF568" t="str">
        <f>HYPERLINK("http://dx.doi.org/10.1007/s002489900108","http://dx.doi.org/10.1007/s002489900108")</f>
        <v>http://dx.doi.org/10.1007/s002489900108</v>
      </c>
      <c r="BG568" t="s">
        <v>74</v>
      </c>
      <c r="BH568" t="s">
        <v>74</v>
      </c>
      <c r="BI568">
        <v>8</v>
      </c>
      <c r="BJ568" t="s">
        <v>4796</v>
      </c>
      <c r="BK568" t="s">
        <v>95</v>
      </c>
      <c r="BL568" t="s">
        <v>4797</v>
      </c>
      <c r="BM568" t="s">
        <v>7839</v>
      </c>
      <c r="BN568">
        <v>9688783</v>
      </c>
      <c r="BO568" t="s">
        <v>74</v>
      </c>
      <c r="BP568" t="s">
        <v>74</v>
      </c>
      <c r="BQ568" t="s">
        <v>74</v>
      </c>
      <c r="BR568" t="s">
        <v>98</v>
      </c>
      <c r="BS568" t="s">
        <v>7840</v>
      </c>
      <c r="BT568" t="str">
        <f>HYPERLINK("https%3A%2F%2Fwww.webofscience.com%2Fwos%2Fwoscc%2Ffull-record%2FWOS:000075236500011","View Full Record in Web of Science")</f>
        <v>View Full Record in Web of Science</v>
      </c>
    </row>
    <row r="569" spans="1:72" x14ac:dyDescent="0.15">
      <c r="A569" t="s">
        <v>72</v>
      </c>
      <c r="B569" t="s">
        <v>7841</v>
      </c>
      <c r="C569" t="s">
        <v>74</v>
      </c>
      <c r="D569" t="s">
        <v>74</v>
      </c>
      <c r="E569" t="s">
        <v>74</v>
      </c>
      <c r="F569" t="s">
        <v>7841</v>
      </c>
      <c r="G569" t="s">
        <v>74</v>
      </c>
      <c r="H569" t="s">
        <v>74</v>
      </c>
      <c r="I569" t="s">
        <v>7842</v>
      </c>
      <c r="J569" t="s">
        <v>4533</v>
      </c>
      <c r="K569" t="s">
        <v>74</v>
      </c>
      <c r="L569" t="s">
        <v>74</v>
      </c>
      <c r="M569" t="s">
        <v>77</v>
      </c>
      <c r="N569" t="s">
        <v>103</v>
      </c>
      <c r="O569" t="s">
        <v>74</v>
      </c>
      <c r="P569" t="s">
        <v>74</v>
      </c>
      <c r="Q569" t="s">
        <v>74</v>
      </c>
      <c r="R569" t="s">
        <v>74</v>
      </c>
      <c r="S569" t="s">
        <v>74</v>
      </c>
      <c r="T569" t="s">
        <v>7843</v>
      </c>
      <c r="U569" t="s">
        <v>7844</v>
      </c>
      <c r="V569" t="s">
        <v>7845</v>
      </c>
      <c r="W569" t="s">
        <v>7846</v>
      </c>
      <c r="X569" t="s">
        <v>7431</v>
      </c>
      <c r="Y569" t="s">
        <v>7847</v>
      </c>
      <c r="Z569" t="s">
        <v>74</v>
      </c>
      <c r="AA569" t="s">
        <v>74</v>
      </c>
      <c r="AB569" t="s">
        <v>74</v>
      </c>
      <c r="AC569" t="s">
        <v>74</v>
      </c>
      <c r="AD569" t="s">
        <v>74</v>
      </c>
      <c r="AE569" t="s">
        <v>74</v>
      </c>
      <c r="AF569" t="s">
        <v>74</v>
      </c>
      <c r="AG569">
        <v>41</v>
      </c>
      <c r="AH569">
        <v>6</v>
      </c>
      <c r="AI569">
        <v>9</v>
      </c>
      <c r="AJ569">
        <v>1</v>
      </c>
      <c r="AK569">
        <v>3</v>
      </c>
      <c r="AL569" t="s">
        <v>1201</v>
      </c>
      <c r="AM569" t="s">
        <v>1202</v>
      </c>
      <c r="AN569" t="s">
        <v>1203</v>
      </c>
      <c r="AO569" t="s">
        <v>4543</v>
      </c>
      <c r="AP569" t="s">
        <v>7848</v>
      </c>
      <c r="AQ569" t="s">
        <v>74</v>
      </c>
      <c r="AR569" t="s">
        <v>4544</v>
      </c>
      <c r="AS569" t="s">
        <v>4545</v>
      </c>
      <c r="AT569" t="s">
        <v>7083</v>
      </c>
      <c r="AU569">
        <v>1998</v>
      </c>
      <c r="AV569">
        <v>36</v>
      </c>
      <c r="AW569">
        <v>3</v>
      </c>
      <c r="AX569" t="s">
        <v>74</v>
      </c>
      <c r="AY569" t="s">
        <v>74</v>
      </c>
      <c r="AZ569" t="s">
        <v>74</v>
      </c>
      <c r="BA569" t="s">
        <v>74</v>
      </c>
      <c r="BB569">
        <v>471</v>
      </c>
      <c r="BC569">
        <v>476</v>
      </c>
      <c r="BD569" t="s">
        <v>74</v>
      </c>
      <c r="BE569" t="s">
        <v>7849</v>
      </c>
      <c r="BF569" t="str">
        <f>HYPERLINK("http://dx.doi.org/10.1080/0028825X.1998.9512585","http://dx.doi.org/10.1080/0028825X.1998.9512585")</f>
        <v>http://dx.doi.org/10.1080/0028825X.1998.9512585</v>
      </c>
      <c r="BG569" t="s">
        <v>74</v>
      </c>
      <c r="BH569" t="s">
        <v>74</v>
      </c>
      <c r="BI569">
        <v>6</v>
      </c>
      <c r="BJ569" t="s">
        <v>382</v>
      </c>
      <c r="BK569" t="s">
        <v>95</v>
      </c>
      <c r="BL569" t="s">
        <v>382</v>
      </c>
      <c r="BM569" t="s">
        <v>7850</v>
      </c>
      <c r="BN569" t="s">
        <v>74</v>
      </c>
      <c r="BO569" t="s">
        <v>74</v>
      </c>
      <c r="BP569" t="s">
        <v>74</v>
      </c>
      <c r="BQ569" t="s">
        <v>74</v>
      </c>
      <c r="BR569" t="s">
        <v>98</v>
      </c>
      <c r="BS569" t="s">
        <v>7851</v>
      </c>
      <c r="BT569" t="str">
        <f>HYPERLINK("https%3A%2F%2Fwww.webofscience.com%2Fwos%2Fwoscc%2Ffull-record%2FWOS:000076456800013","View Full Record in Web of Science")</f>
        <v>View Full Record in Web of Science</v>
      </c>
    </row>
    <row r="570" spans="1:72" x14ac:dyDescent="0.15">
      <c r="A570" t="s">
        <v>72</v>
      </c>
      <c r="B570" t="s">
        <v>7852</v>
      </c>
      <c r="C570" t="s">
        <v>74</v>
      </c>
      <c r="D570" t="s">
        <v>74</v>
      </c>
      <c r="E570" t="s">
        <v>74</v>
      </c>
      <c r="F570" t="s">
        <v>7852</v>
      </c>
      <c r="G570" t="s">
        <v>74</v>
      </c>
      <c r="H570" t="s">
        <v>74</v>
      </c>
      <c r="I570" t="s">
        <v>7853</v>
      </c>
      <c r="J570" t="s">
        <v>2509</v>
      </c>
      <c r="K570" t="s">
        <v>74</v>
      </c>
      <c r="L570" t="s">
        <v>74</v>
      </c>
      <c r="M570" t="s">
        <v>2510</v>
      </c>
      <c r="N570" t="s">
        <v>103</v>
      </c>
      <c r="O570" t="s">
        <v>74</v>
      </c>
      <c r="P570" t="s">
        <v>74</v>
      </c>
      <c r="Q570" t="s">
        <v>74</v>
      </c>
      <c r="R570" t="s">
        <v>74</v>
      </c>
      <c r="S570" t="s">
        <v>74</v>
      </c>
      <c r="T570" t="s">
        <v>74</v>
      </c>
      <c r="U570" t="s">
        <v>7854</v>
      </c>
      <c r="V570" t="s">
        <v>7855</v>
      </c>
      <c r="W570" t="s">
        <v>2512</v>
      </c>
      <c r="X570" t="s">
        <v>2513</v>
      </c>
      <c r="Y570" t="s">
        <v>7856</v>
      </c>
      <c r="Z570" t="s">
        <v>74</v>
      </c>
      <c r="AA570" t="s">
        <v>74</v>
      </c>
      <c r="AB570" t="s">
        <v>74</v>
      </c>
      <c r="AC570" t="s">
        <v>74</v>
      </c>
      <c r="AD570" t="s">
        <v>74</v>
      </c>
      <c r="AE570" t="s">
        <v>74</v>
      </c>
      <c r="AF570" t="s">
        <v>74</v>
      </c>
      <c r="AG570">
        <v>25</v>
      </c>
      <c r="AH570">
        <v>1</v>
      </c>
      <c r="AI570">
        <v>1</v>
      </c>
      <c r="AJ570">
        <v>0</v>
      </c>
      <c r="AK570">
        <v>2</v>
      </c>
      <c r="AL570" t="s">
        <v>2517</v>
      </c>
      <c r="AM570" t="s">
        <v>2518</v>
      </c>
      <c r="AN570" t="s">
        <v>2519</v>
      </c>
      <c r="AO570" t="s">
        <v>2520</v>
      </c>
      <c r="AP570" t="s">
        <v>74</v>
      </c>
      <c r="AQ570" t="s">
        <v>74</v>
      </c>
      <c r="AR570" t="s">
        <v>2521</v>
      </c>
      <c r="AS570" t="s">
        <v>2522</v>
      </c>
      <c r="AT570" t="s">
        <v>7468</v>
      </c>
      <c r="AU570">
        <v>1998</v>
      </c>
      <c r="AV570">
        <v>38</v>
      </c>
      <c r="AW570">
        <v>5</v>
      </c>
      <c r="AX570" t="s">
        <v>74</v>
      </c>
      <c r="AY570" t="s">
        <v>74</v>
      </c>
      <c r="AZ570" t="s">
        <v>74</v>
      </c>
      <c r="BA570" t="s">
        <v>74</v>
      </c>
      <c r="BB570">
        <v>654</v>
      </c>
      <c r="BC570">
        <v>664</v>
      </c>
      <c r="BD570" t="s">
        <v>74</v>
      </c>
      <c r="BE570" t="s">
        <v>74</v>
      </c>
      <c r="BF570" t="s">
        <v>74</v>
      </c>
      <c r="BG570" t="s">
        <v>74</v>
      </c>
      <c r="BH570" t="s">
        <v>74</v>
      </c>
      <c r="BI570">
        <v>11</v>
      </c>
      <c r="BJ570" t="s">
        <v>451</v>
      </c>
      <c r="BK570" t="s">
        <v>95</v>
      </c>
      <c r="BL570" t="s">
        <v>451</v>
      </c>
      <c r="BM570" t="s">
        <v>7857</v>
      </c>
      <c r="BN570" t="s">
        <v>74</v>
      </c>
      <c r="BO570" t="s">
        <v>74</v>
      </c>
      <c r="BP570" t="s">
        <v>74</v>
      </c>
      <c r="BQ570" t="s">
        <v>74</v>
      </c>
      <c r="BR570" t="s">
        <v>98</v>
      </c>
      <c r="BS570" t="s">
        <v>7858</v>
      </c>
      <c r="BT570" t="str">
        <f>HYPERLINK("https%3A%2F%2Fwww.webofscience.com%2Fwos%2Fwoscc%2Ffull-record%2FWOS:000077426800002","View Full Record in Web of Science")</f>
        <v>View Full Record in Web of Science</v>
      </c>
    </row>
    <row r="571" spans="1:72" x14ac:dyDescent="0.15">
      <c r="A571" t="s">
        <v>72</v>
      </c>
      <c r="B571" t="s">
        <v>7859</v>
      </c>
      <c r="C571" t="s">
        <v>74</v>
      </c>
      <c r="D571" t="s">
        <v>74</v>
      </c>
      <c r="E571" t="s">
        <v>74</v>
      </c>
      <c r="F571" t="s">
        <v>7859</v>
      </c>
      <c r="G571" t="s">
        <v>74</v>
      </c>
      <c r="H571" t="s">
        <v>74</v>
      </c>
      <c r="I571" t="s">
        <v>7860</v>
      </c>
      <c r="J571" t="s">
        <v>7861</v>
      </c>
      <c r="K571" t="s">
        <v>74</v>
      </c>
      <c r="L571" t="s">
        <v>74</v>
      </c>
      <c r="M571" t="s">
        <v>77</v>
      </c>
      <c r="N571" t="s">
        <v>103</v>
      </c>
      <c r="O571" t="s">
        <v>74</v>
      </c>
      <c r="P571" t="s">
        <v>74</v>
      </c>
      <c r="Q571" t="s">
        <v>74</v>
      </c>
      <c r="R571" t="s">
        <v>74</v>
      </c>
      <c r="S571" t="s">
        <v>74</v>
      </c>
      <c r="T571" t="s">
        <v>7862</v>
      </c>
      <c r="U571" t="s">
        <v>7863</v>
      </c>
      <c r="V571" t="s">
        <v>7864</v>
      </c>
      <c r="W571" t="s">
        <v>7865</v>
      </c>
      <c r="X571" t="s">
        <v>7866</v>
      </c>
      <c r="Y571" t="s">
        <v>5651</v>
      </c>
      <c r="Z571" t="s">
        <v>74</v>
      </c>
      <c r="AA571" t="s">
        <v>74</v>
      </c>
      <c r="AB571" t="s">
        <v>74</v>
      </c>
      <c r="AC571" t="s">
        <v>74</v>
      </c>
      <c r="AD571" t="s">
        <v>74</v>
      </c>
      <c r="AE571" t="s">
        <v>74</v>
      </c>
      <c r="AF571" t="s">
        <v>74</v>
      </c>
      <c r="AG571">
        <v>57</v>
      </c>
      <c r="AH571">
        <v>104</v>
      </c>
      <c r="AI571">
        <v>117</v>
      </c>
      <c r="AJ571">
        <v>0</v>
      </c>
      <c r="AK571">
        <v>17</v>
      </c>
      <c r="AL571" t="s">
        <v>1037</v>
      </c>
      <c r="AM571" t="s">
        <v>1038</v>
      </c>
      <c r="AN571" t="s">
        <v>1039</v>
      </c>
      <c r="AO571" t="s">
        <v>7867</v>
      </c>
      <c r="AP571" t="s">
        <v>74</v>
      </c>
      <c r="AQ571" t="s">
        <v>74</v>
      </c>
      <c r="AR571" t="s">
        <v>7868</v>
      </c>
      <c r="AS571" t="s">
        <v>7869</v>
      </c>
      <c r="AT571" t="s">
        <v>7083</v>
      </c>
      <c r="AU571">
        <v>1998</v>
      </c>
      <c r="AV571">
        <v>141</v>
      </c>
      <c r="AW571" t="s">
        <v>1282</v>
      </c>
      <c r="AX571" t="s">
        <v>74</v>
      </c>
      <c r="AY571" t="s">
        <v>74</v>
      </c>
      <c r="AZ571" t="s">
        <v>74</v>
      </c>
      <c r="BA571" t="s">
        <v>74</v>
      </c>
      <c r="BB571">
        <v>215</v>
      </c>
      <c r="BC571">
        <v>232</v>
      </c>
      <c r="BD571" t="s">
        <v>74</v>
      </c>
      <c r="BE571" t="s">
        <v>7870</v>
      </c>
      <c r="BF571" t="str">
        <f>HYPERLINK("http://dx.doi.org/10.1016/S0031-0182(98)00056-X","http://dx.doi.org/10.1016/S0031-0182(98)00056-X")</f>
        <v>http://dx.doi.org/10.1016/S0031-0182(98)00056-X</v>
      </c>
      <c r="BG571" t="s">
        <v>74</v>
      </c>
      <c r="BH571" t="s">
        <v>74</v>
      </c>
      <c r="BI571">
        <v>18</v>
      </c>
      <c r="BJ571" t="s">
        <v>7871</v>
      </c>
      <c r="BK571" t="s">
        <v>95</v>
      </c>
      <c r="BL571" t="s">
        <v>7872</v>
      </c>
      <c r="BM571" t="s">
        <v>7873</v>
      </c>
      <c r="BN571" t="s">
        <v>74</v>
      </c>
      <c r="BO571" t="s">
        <v>74</v>
      </c>
      <c r="BP571" t="s">
        <v>74</v>
      </c>
      <c r="BQ571" t="s">
        <v>74</v>
      </c>
      <c r="BR571" t="s">
        <v>98</v>
      </c>
      <c r="BS571" t="s">
        <v>7874</v>
      </c>
      <c r="BT571" t="str">
        <f>HYPERLINK("https%3A%2F%2Fwww.webofscience.com%2Fwos%2Fwoscc%2Ffull-record%2FWOS:000074693900003","View Full Record in Web of Science")</f>
        <v>View Full Record in Web of Science</v>
      </c>
    </row>
    <row r="572" spans="1:72" x14ac:dyDescent="0.15">
      <c r="A572" t="s">
        <v>72</v>
      </c>
      <c r="B572" t="s">
        <v>7875</v>
      </c>
      <c r="C572" t="s">
        <v>74</v>
      </c>
      <c r="D572" t="s">
        <v>74</v>
      </c>
      <c r="E572" t="s">
        <v>74</v>
      </c>
      <c r="F572" t="s">
        <v>7875</v>
      </c>
      <c r="G572" t="s">
        <v>74</v>
      </c>
      <c r="H572" t="s">
        <v>74</v>
      </c>
      <c r="I572" t="s">
        <v>7876</v>
      </c>
      <c r="J572" t="s">
        <v>7861</v>
      </c>
      <c r="K572" t="s">
        <v>74</v>
      </c>
      <c r="L572" t="s">
        <v>74</v>
      </c>
      <c r="M572" t="s">
        <v>77</v>
      </c>
      <c r="N572" t="s">
        <v>103</v>
      </c>
      <c r="O572" t="s">
        <v>74</v>
      </c>
      <c r="P572" t="s">
        <v>74</v>
      </c>
      <c r="Q572" t="s">
        <v>74</v>
      </c>
      <c r="R572" t="s">
        <v>74</v>
      </c>
      <c r="S572" t="s">
        <v>74</v>
      </c>
      <c r="T572" t="s">
        <v>7877</v>
      </c>
      <c r="U572" t="s">
        <v>7878</v>
      </c>
      <c r="V572" t="s">
        <v>7879</v>
      </c>
      <c r="W572" t="s">
        <v>74</v>
      </c>
      <c r="X572" t="s">
        <v>74</v>
      </c>
      <c r="Y572" t="s">
        <v>7880</v>
      </c>
      <c r="Z572" t="s">
        <v>74</v>
      </c>
      <c r="AA572" t="s">
        <v>74</v>
      </c>
      <c r="AB572" t="s">
        <v>74</v>
      </c>
      <c r="AC572" t="s">
        <v>74</v>
      </c>
      <c r="AD572" t="s">
        <v>74</v>
      </c>
      <c r="AE572" t="s">
        <v>74</v>
      </c>
      <c r="AF572" t="s">
        <v>74</v>
      </c>
      <c r="AG572">
        <v>60</v>
      </c>
      <c r="AH572">
        <v>98</v>
      </c>
      <c r="AI572">
        <v>107</v>
      </c>
      <c r="AJ572">
        <v>0</v>
      </c>
      <c r="AK572">
        <v>10</v>
      </c>
      <c r="AL572" t="s">
        <v>1037</v>
      </c>
      <c r="AM572" t="s">
        <v>1038</v>
      </c>
      <c r="AN572" t="s">
        <v>1039</v>
      </c>
      <c r="AO572" t="s">
        <v>7867</v>
      </c>
      <c r="AP572" t="s">
        <v>74</v>
      </c>
      <c r="AQ572" t="s">
        <v>74</v>
      </c>
      <c r="AR572" t="s">
        <v>7868</v>
      </c>
      <c r="AS572" t="s">
        <v>7869</v>
      </c>
      <c r="AT572" t="s">
        <v>7083</v>
      </c>
      <c r="AU572">
        <v>1998</v>
      </c>
      <c r="AV572">
        <v>141</v>
      </c>
      <c r="AW572" t="s">
        <v>1282</v>
      </c>
      <c r="AX572" t="s">
        <v>74</v>
      </c>
      <c r="AY572" t="s">
        <v>74</v>
      </c>
      <c r="AZ572" t="s">
        <v>74</v>
      </c>
      <c r="BA572" t="s">
        <v>74</v>
      </c>
      <c r="BB572">
        <v>277</v>
      </c>
      <c r="BC572">
        <v>301</v>
      </c>
      <c r="BD572" t="s">
        <v>74</v>
      </c>
      <c r="BE572" t="s">
        <v>7881</v>
      </c>
      <c r="BF572" t="str">
        <f>HYPERLINK("http://dx.doi.org/10.1016/S0031-0182(98)00053-4","http://dx.doi.org/10.1016/S0031-0182(98)00053-4")</f>
        <v>http://dx.doi.org/10.1016/S0031-0182(98)00053-4</v>
      </c>
      <c r="BG572" t="s">
        <v>74</v>
      </c>
      <c r="BH572" t="s">
        <v>74</v>
      </c>
      <c r="BI572">
        <v>25</v>
      </c>
      <c r="BJ572" t="s">
        <v>7871</v>
      </c>
      <c r="BK572" t="s">
        <v>95</v>
      </c>
      <c r="BL572" t="s">
        <v>7872</v>
      </c>
      <c r="BM572" t="s">
        <v>7873</v>
      </c>
      <c r="BN572" t="s">
        <v>74</v>
      </c>
      <c r="BO572" t="s">
        <v>74</v>
      </c>
      <c r="BP572" t="s">
        <v>74</v>
      </c>
      <c r="BQ572" t="s">
        <v>74</v>
      </c>
      <c r="BR572" t="s">
        <v>98</v>
      </c>
      <c r="BS572" t="s">
        <v>7882</v>
      </c>
      <c r="BT572" t="str">
        <f>HYPERLINK("https%3A%2F%2Fwww.webofscience.com%2Fwos%2Fwoscc%2Ffull-record%2FWOS:000074693900006","View Full Record in Web of Science")</f>
        <v>View Full Record in Web of Science</v>
      </c>
    </row>
    <row r="573" spans="1:72" x14ac:dyDescent="0.15">
      <c r="A573" t="s">
        <v>72</v>
      </c>
      <c r="B573" t="s">
        <v>7883</v>
      </c>
      <c r="C573" t="s">
        <v>74</v>
      </c>
      <c r="D573" t="s">
        <v>74</v>
      </c>
      <c r="E573" t="s">
        <v>74</v>
      </c>
      <c r="F573" t="s">
        <v>7883</v>
      </c>
      <c r="G573" t="s">
        <v>74</v>
      </c>
      <c r="H573" t="s">
        <v>74</v>
      </c>
      <c r="I573" t="s">
        <v>7884</v>
      </c>
      <c r="J573" t="s">
        <v>4566</v>
      </c>
      <c r="K573" t="s">
        <v>74</v>
      </c>
      <c r="L573" t="s">
        <v>74</v>
      </c>
      <c r="M573" t="s">
        <v>77</v>
      </c>
      <c r="N573" t="s">
        <v>103</v>
      </c>
      <c r="O573" t="s">
        <v>74</v>
      </c>
      <c r="P573" t="s">
        <v>74</v>
      </c>
      <c r="Q573" t="s">
        <v>74</v>
      </c>
      <c r="R573" t="s">
        <v>74</v>
      </c>
      <c r="S573" t="s">
        <v>74</v>
      </c>
      <c r="T573" t="s">
        <v>74</v>
      </c>
      <c r="U573" t="s">
        <v>7885</v>
      </c>
      <c r="V573" t="s">
        <v>7886</v>
      </c>
      <c r="W573" t="s">
        <v>7887</v>
      </c>
      <c r="X573" t="s">
        <v>7888</v>
      </c>
      <c r="Y573" t="s">
        <v>7889</v>
      </c>
      <c r="Z573" t="s">
        <v>74</v>
      </c>
      <c r="AA573" t="s">
        <v>74</v>
      </c>
      <c r="AB573" t="s">
        <v>74</v>
      </c>
      <c r="AC573" t="s">
        <v>74</v>
      </c>
      <c r="AD573" t="s">
        <v>74</v>
      </c>
      <c r="AE573" t="s">
        <v>74</v>
      </c>
      <c r="AF573" t="s">
        <v>74</v>
      </c>
      <c r="AG573">
        <v>27</v>
      </c>
      <c r="AH573">
        <v>22</v>
      </c>
      <c r="AI573">
        <v>24</v>
      </c>
      <c r="AJ573">
        <v>0</v>
      </c>
      <c r="AK573">
        <v>0</v>
      </c>
      <c r="AL573" t="s">
        <v>4572</v>
      </c>
      <c r="AM573" t="s">
        <v>229</v>
      </c>
      <c r="AN573" t="s">
        <v>4573</v>
      </c>
      <c r="AO573" t="s">
        <v>4574</v>
      </c>
      <c r="AP573" t="s">
        <v>74</v>
      </c>
      <c r="AQ573" t="s">
        <v>74</v>
      </c>
      <c r="AR573" t="s">
        <v>4566</v>
      </c>
      <c r="AS573" t="s">
        <v>2287</v>
      </c>
      <c r="AT573" t="s">
        <v>7083</v>
      </c>
      <c r="AU573">
        <v>1998</v>
      </c>
      <c r="AV573">
        <v>41</v>
      </c>
      <c r="AW573" t="s">
        <v>74</v>
      </c>
      <c r="AX573">
        <v>5</v>
      </c>
      <c r="AY573" t="s">
        <v>74</v>
      </c>
      <c r="AZ573" t="s">
        <v>74</v>
      </c>
      <c r="BA573" t="s">
        <v>74</v>
      </c>
      <c r="BB573">
        <v>807</v>
      </c>
      <c r="BC573">
        <v>814</v>
      </c>
      <c r="BD573" t="s">
        <v>74</v>
      </c>
      <c r="BE573" t="s">
        <v>74</v>
      </c>
      <c r="BF573" t="s">
        <v>74</v>
      </c>
      <c r="BG573" t="s">
        <v>74</v>
      </c>
      <c r="BH573" t="s">
        <v>74</v>
      </c>
      <c r="BI573">
        <v>8</v>
      </c>
      <c r="BJ573" t="s">
        <v>2287</v>
      </c>
      <c r="BK573" t="s">
        <v>95</v>
      </c>
      <c r="BL573" t="s">
        <v>2287</v>
      </c>
      <c r="BM573" t="s">
        <v>7890</v>
      </c>
      <c r="BN573" t="s">
        <v>74</v>
      </c>
      <c r="BO573" t="s">
        <v>74</v>
      </c>
      <c r="BP573" t="s">
        <v>74</v>
      </c>
      <c r="BQ573" t="s">
        <v>74</v>
      </c>
      <c r="BR573" t="s">
        <v>98</v>
      </c>
      <c r="BS573" t="s">
        <v>7891</v>
      </c>
      <c r="BT573" t="str">
        <f>HYPERLINK("https%3A%2F%2Fwww.webofscience.com%2Fwos%2Fwoscc%2Ffull-record%2FWOS:000076566500001","View Full Record in Web of Science")</f>
        <v>View Full Record in Web of Science</v>
      </c>
    </row>
    <row r="574" spans="1:72" x14ac:dyDescent="0.15">
      <c r="A574" t="s">
        <v>72</v>
      </c>
      <c r="B574" t="s">
        <v>7892</v>
      </c>
      <c r="C574" t="s">
        <v>74</v>
      </c>
      <c r="D574" t="s">
        <v>74</v>
      </c>
      <c r="E574" t="s">
        <v>74</v>
      </c>
      <c r="F574" t="s">
        <v>7892</v>
      </c>
      <c r="G574" t="s">
        <v>74</v>
      </c>
      <c r="H574" t="s">
        <v>74</v>
      </c>
      <c r="I574" t="s">
        <v>7893</v>
      </c>
      <c r="J574" t="s">
        <v>7894</v>
      </c>
      <c r="K574" t="s">
        <v>74</v>
      </c>
      <c r="L574" t="s">
        <v>74</v>
      </c>
      <c r="M574" t="s">
        <v>77</v>
      </c>
      <c r="N574" t="s">
        <v>103</v>
      </c>
      <c r="O574" t="s">
        <v>74</v>
      </c>
      <c r="P574" t="s">
        <v>74</v>
      </c>
      <c r="Q574" t="s">
        <v>74</v>
      </c>
      <c r="R574" t="s">
        <v>74</v>
      </c>
      <c r="S574" t="s">
        <v>74</v>
      </c>
      <c r="T574" t="s">
        <v>7895</v>
      </c>
      <c r="U574" t="s">
        <v>7896</v>
      </c>
      <c r="V574" t="s">
        <v>7897</v>
      </c>
      <c r="W574" t="s">
        <v>7898</v>
      </c>
      <c r="X574" t="s">
        <v>7899</v>
      </c>
      <c r="Y574" t="s">
        <v>7900</v>
      </c>
      <c r="Z574" t="s">
        <v>74</v>
      </c>
      <c r="AA574" t="s">
        <v>74</v>
      </c>
      <c r="AB574" t="s">
        <v>7901</v>
      </c>
      <c r="AC574" t="s">
        <v>74</v>
      </c>
      <c r="AD574" t="s">
        <v>74</v>
      </c>
      <c r="AE574" t="s">
        <v>74</v>
      </c>
      <c r="AF574" t="s">
        <v>74</v>
      </c>
      <c r="AG574">
        <v>26</v>
      </c>
      <c r="AH574">
        <v>48</v>
      </c>
      <c r="AI574">
        <v>53</v>
      </c>
      <c r="AJ574">
        <v>0</v>
      </c>
      <c r="AK574">
        <v>13</v>
      </c>
      <c r="AL574" t="s">
        <v>5639</v>
      </c>
      <c r="AM574" t="s">
        <v>4772</v>
      </c>
      <c r="AN574" t="s">
        <v>5640</v>
      </c>
      <c r="AO574" t="s">
        <v>7902</v>
      </c>
      <c r="AP574" t="s">
        <v>74</v>
      </c>
      <c r="AQ574" t="s">
        <v>74</v>
      </c>
      <c r="AR574" t="s">
        <v>7894</v>
      </c>
      <c r="AS574" t="s">
        <v>7903</v>
      </c>
      <c r="AT574" t="s">
        <v>7083</v>
      </c>
      <c r="AU574">
        <v>1998</v>
      </c>
      <c r="AV574">
        <v>42</v>
      </c>
      <c r="AW574">
        <v>4</v>
      </c>
      <c r="AX574" t="s">
        <v>74</v>
      </c>
      <c r="AY574" t="s">
        <v>74</v>
      </c>
      <c r="AZ574" t="s">
        <v>74</v>
      </c>
      <c r="BA574" t="s">
        <v>74</v>
      </c>
      <c r="BB574">
        <v>298</v>
      </c>
      <c r="BC574">
        <v>308</v>
      </c>
      <c r="BD574" t="s">
        <v>74</v>
      </c>
      <c r="BE574" t="s">
        <v>74</v>
      </c>
      <c r="BF574" t="s">
        <v>74</v>
      </c>
      <c r="BG574" t="s">
        <v>74</v>
      </c>
      <c r="BH574" t="s">
        <v>74</v>
      </c>
      <c r="BI574">
        <v>11</v>
      </c>
      <c r="BJ574" t="s">
        <v>852</v>
      </c>
      <c r="BK574" t="s">
        <v>95</v>
      </c>
      <c r="BL574" t="s">
        <v>853</v>
      </c>
      <c r="BM574" t="s">
        <v>7904</v>
      </c>
      <c r="BN574" t="s">
        <v>74</v>
      </c>
      <c r="BO574" t="s">
        <v>74</v>
      </c>
      <c r="BP574" t="s">
        <v>74</v>
      </c>
      <c r="BQ574" t="s">
        <v>74</v>
      </c>
      <c r="BR574" t="s">
        <v>98</v>
      </c>
      <c r="BS574" t="s">
        <v>7905</v>
      </c>
      <c r="BT574" t="str">
        <f>HYPERLINK("https%3A%2F%2Fwww.webofscience.com%2Fwos%2Fwoscc%2Ffull-record%2FWOS:000075910600002","View Full Record in Web of Science")</f>
        <v>View Full Record in Web of Science</v>
      </c>
    </row>
    <row r="575" spans="1:72" x14ac:dyDescent="0.15">
      <c r="A575" t="s">
        <v>72</v>
      </c>
      <c r="B575" t="s">
        <v>7906</v>
      </c>
      <c r="C575" t="s">
        <v>74</v>
      </c>
      <c r="D575" t="s">
        <v>74</v>
      </c>
      <c r="E575" t="s">
        <v>74</v>
      </c>
      <c r="F575" t="s">
        <v>7906</v>
      </c>
      <c r="G575" t="s">
        <v>74</v>
      </c>
      <c r="H575" t="s">
        <v>74</v>
      </c>
      <c r="I575" t="s">
        <v>7907</v>
      </c>
      <c r="J575" t="s">
        <v>2603</v>
      </c>
      <c r="K575" t="s">
        <v>74</v>
      </c>
      <c r="L575" t="s">
        <v>74</v>
      </c>
      <c r="M575" t="s">
        <v>77</v>
      </c>
      <c r="N575" t="s">
        <v>103</v>
      </c>
      <c r="O575" t="s">
        <v>74</v>
      </c>
      <c r="P575" t="s">
        <v>74</v>
      </c>
      <c r="Q575" t="s">
        <v>74</v>
      </c>
      <c r="R575" t="s">
        <v>74</v>
      </c>
      <c r="S575" t="s">
        <v>74</v>
      </c>
      <c r="T575" t="s">
        <v>74</v>
      </c>
      <c r="U575" t="s">
        <v>7908</v>
      </c>
      <c r="V575" t="s">
        <v>7909</v>
      </c>
      <c r="W575" t="s">
        <v>944</v>
      </c>
      <c r="X575" t="s">
        <v>628</v>
      </c>
      <c r="Y575" t="s">
        <v>2008</v>
      </c>
      <c r="Z575" t="s">
        <v>74</v>
      </c>
      <c r="AA575" t="s">
        <v>6864</v>
      </c>
      <c r="AB575" t="s">
        <v>6865</v>
      </c>
      <c r="AC575" t="s">
        <v>74</v>
      </c>
      <c r="AD575" t="s">
        <v>74</v>
      </c>
      <c r="AE575" t="s">
        <v>74</v>
      </c>
      <c r="AF575" t="s">
        <v>74</v>
      </c>
      <c r="AG575">
        <v>24</v>
      </c>
      <c r="AH575">
        <v>22</v>
      </c>
      <c r="AI575">
        <v>28</v>
      </c>
      <c r="AJ575">
        <v>0</v>
      </c>
      <c r="AK575">
        <v>9</v>
      </c>
      <c r="AL575" t="s">
        <v>805</v>
      </c>
      <c r="AM575" t="s">
        <v>278</v>
      </c>
      <c r="AN575" t="s">
        <v>7324</v>
      </c>
      <c r="AO575" t="s">
        <v>2610</v>
      </c>
      <c r="AP575" t="s">
        <v>2611</v>
      </c>
      <c r="AQ575" t="s">
        <v>74</v>
      </c>
      <c r="AR575" t="s">
        <v>2612</v>
      </c>
      <c r="AS575" t="s">
        <v>2613</v>
      </c>
      <c r="AT575" t="s">
        <v>7083</v>
      </c>
      <c r="AU575">
        <v>1998</v>
      </c>
      <c r="AV575">
        <v>20</v>
      </c>
      <c r="AW575">
        <v>3</v>
      </c>
      <c r="AX575" t="s">
        <v>74</v>
      </c>
      <c r="AY575" t="s">
        <v>74</v>
      </c>
      <c r="AZ575" t="s">
        <v>74</v>
      </c>
      <c r="BA575" t="s">
        <v>74</v>
      </c>
      <c r="BB575">
        <v>153</v>
      </c>
      <c r="BC575">
        <v>160</v>
      </c>
      <c r="BD575" t="s">
        <v>74</v>
      </c>
      <c r="BE575" t="s">
        <v>7910</v>
      </c>
      <c r="BF575" t="str">
        <f>HYPERLINK("http://dx.doi.org/10.1007/s003000050291","http://dx.doi.org/10.1007/s003000050291")</f>
        <v>http://dx.doi.org/10.1007/s003000050291</v>
      </c>
      <c r="BG575" t="s">
        <v>74</v>
      </c>
      <c r="BH575" t="s">
        <v>74</v>
      </c>
      <c r="BI575">
        <v>8</v>
      </c>
      <c r="BJ575" t="s">
        <v>2615</v>
      </c>
      <c r="BK575" t="s">
        <v>95</v>
      </c>
      <c r="BL575" t="s">
        <v>2616</v>
      </c>
      <c r="BM575" t="s">
        <v>7911</v>
      </c>
      <c r="BN575" t="s">
        <v>74</v>
      </c>
      <c r="BO575" t="s">
        <v>74</v>
      </c>
      <c r="BP575" t="s">
        <v>74</v>
      </c>
      <c r="BQ575" t="s">
        <v>74</v>
      </c>
      <c r="BR575" t="s">
        <v>98</v>
      </c>
      <c r="BS575" t="s">
        <v>7912</v>
      </c>
      <c r="BT575" t="str">
        <f>HYPERLINK("https%3A%2F%2Fwww.webofscience.com%2Fwos%2Fwoscc%2Ffull-record%2FWOS:000075784600001","View Full Record in Web of Science")</f>
        <v>View Full Record in Web of Science</v>
      </c>
    </row>
    <row r="576" spans="1:72" x14ac:dyDescent="0.15">
      <c r="A576" t="s">
        <v>72</v>
      </c>
      <c r="B576" t="s">
        <v>7913</v>
      </c>
      <c r="C576" t="s">
        <v>74</v>
      </c>
      <c r="D576" t="s">
        <v>74</v>
      </c>
      <c r="E576" t="s">
        <v>74</v>
      </c>
      <c r="F576" t="s">
        <v>7913</v>
      </c>
      <c r="G576" t="s">
        <v>74</v>
      </c>
      <c r="H576" t="s">
        <v>74</v>
      </c>
      <c r="I576" t="s">
        <v>7914</v>
      </c>
      <c r="J576" t="s">
        <v>2603</v>
      </c>
      <c r="K576" t="s">
        <v>74</v>
      </c>
      <c r="L576" t="s">
        <v>74</v>
      </c>
      <c r="M576" t="s">
        <v>77</v>
      </c>
      <c r="N576" t="s">
        <v>103</v>
      </c>
      <c r="O576" t="s">
        <v>74</v>
      </c>
      <c r="P576" t="s">
        <v>74</v>
      </c>
      <c r="Q576" t="s">
        <v>74</v>
      </c>
      <c r="R576" t="s">
        <v>74</v>
      </c>
      <c r="S576" t="s">
        <v>74</v>
      </c>
      <c r="T576" t="s">
        <v>74</v>
      </c>
      <c r="U576" t="s">
        <v>7915</v>
      </c>
      <c r="V576" t="s">
        <v>7916</v>
      </c>
      <c r="W576" t="s">
        <v>7917</v>
      </c>
      <c r="X576" t="s">
        <v>6234</v>
      </c>
      <c r="Y576" t="s">
        <v>7918</v>
      </c>
      <c r="Z576" t="s">
        <v>7919</v>
      </c>
      <c r="AA576" t="s">
        <v>6237</v>
      </c>
      <c r="AB576" t="s">
        <v>7920</v>
      </c>
      <c r="AC576" t="s">
        <v>74</v>
      </c>
      <c r="AD576" t="s">
        <v>74</v>
      </c>
      <c r="AE576" t="s">
        <v>74</v>
      </c>
      <c r="AF576" t="s">
        <v>74</v>
      </c>
      <c r="AG576">
        <v>59</v>
      </c>
      <c r="AH576">
        <v>36</v>
      </c>
      <c r="AI576">
        <v>36</v>
      </c>
      <c r="AJ576">
        <v>1</v>
      </c>
      <c r="AK576">
        <v>5</v>
      </c>
      <c r="AL576" t="s">
        <v>805</v>
      </c>
      <c r="AM576" t="s">
        <v>278</v>
      </c>
      <c r="AN576" t="s">
        <v>806</v>
      </c>
      <c r="AO576" t="s">
        <v>2610</v>
      </c>
      <c r="AP576" t="s">
        <v>2611</v>
      </c>
      <c r="AQ576" t="s">
        <v>74</v>
      </c>
      <c r="AR576" t="s">
        <v>2612</v>
      </c>
      <c r="AS576" t="s">
        <v>2613</v>
      </c>
      <c r="AT576" t="s">
        <v>7083</v>
      </c>
      <c r="AU576">
        <v>1998</v>
      </c>
      <c r="AV576">
        <v>20</v>
      </c>
      <c r="AW576">
        <v>3</v>
      </c>
      <c r="AX576" t="s">
        <v>74</v>
      </c>
      <c r="AY576" t="s">
        <v>74</v>
      </c>
      <c r="AZ576" t="s">
        <v>74</v>
      </c>
      <c r="BA576" t="s">
        <v>74</v>
      </c>
      <c r="BB576">
        <v>161</v>
      </c>
      <c r="BC576">
        <v>169</v>
      </c>
      <c r="BD576" t="s">
        <v>74</v>
      </c>
      <c r="BE576" t="s">
        <v>7921</v>
      </c>
      <c r="BF576" t="str">
        <f>HYPERLINK("http://dx.doi.org/10.1007/s003000050292","http://dx.doi.org/10.1007/s003000050292")</f>
        <v>http://dx.doi.org/10.1007/s003000050292</v>
      </c>
      <c r="BG576" t="s">
        <v>74</v>
      </c>
      <c r="BH576" t="s">
        <v>74</v>
      </c>
      <c r="BI576">
        <v>9</v>
      </c>
      <c r="BJ576" t="s">
        <v>2615</v>
      </c>
      <c r="BK576" t="s">
        <v>95</v>
      </c>
      <c r="BL576" t="s">
        <v>2616</v>
      </c>
      <c r="BM576" t="s">
        <v>7911</v>
      </c>
      <c r="BN576" t="s">
        <v>74</v>
      </c>
      <c r="BO576" t="s">
        <v>74</v>
      </c>
      <c r="BP576" t="s">
        <v>74</v>
      </c>
      <c r="BQ576" t="s">
        <v>74</v>
      </c>
      <c r="BR576" t="s">
        <v>98</v>
      </c>
      <c r="BS576" t="s">
        <v>7922</v>
      </c>
      <c r="BT576" t="str">
        <f>HYPERLINK("https%3A%2F%2Fwww.webofscience.com%2Fwos%2Fwoscc%2Ffull-record%2FWOS:000075784600002","View Full Record in Web of Science")</f>
        <v>View Full Record in Web of Science</v>
      </c>
    </row>
    <row r="577" spans="1:72" x14ac:dyDescent="0.15">
      <c r="A577" t="s">
        <v>72</v>
      </c>
      <c r="B577" t="s">
        <v>7923</v>
      </c>
      <c r="C577" t="s">
        <v>74</v>
      </c>
      <c r="D577" t="s">
        <v>74</v>
      </c>
      <c r="E577" t="s">
        <v>74</v>
      </c>
      <c r="F577" t="s">
        <v>7923</v>
      </c>
      <c r="G577" t="s">
        <v>74</v>
      </c>
      <c r="H577" t="s">
        <v>74</v>
      </c>
      <c r="I577" t="s">
        <v>7924</v>
      </c>
      <c r="J577" t="s">
        <v>2603</v>
      </c>
      <c r="K577" t="s">
        <v>74</v>
      </c>
      <c r="L577" t="s">
        <v>74</v>
      </c>
      <c r="M577" t="s">
        <v>77</v>
      </c>
      <c r="N577" t="s">
        <v>103</v>
      </c>
      <c r="O577" t="s">
        <v>74</v>
      </c>
      <c r="P577" t="s">
        <v>74</v>
      </c>
      <c r="Q577" t="s">
        <v>74</v>
      </c>
      <c r="R577" t="s">
        <v>74</v>
      </c>
      <c r="S577" t="s">
        <v>74</v>
      </c>
      <c r="T577" t="s">
        <v>74</v>
      </c>
      <c r="U577" t="s">
        <v>7925</v>
      </c>
      <c r="V577" t="s">
        <v>7926</v>
      </c>
      <c r="W577" t="s">
        <v>7927</v>
      </c>
      <c r="X577" t="s">
        <v>74</v>
      </c>
      <c r="Y577" t="s">
        <v>7928</v>
      </c>
      <c r="Z577" t="s">
        <v>74</v>
      </c>
      <c r="AA577" t="s">
        <v>7929</v>
      </c>
      <c r="AB577" t="s">
        <v>7930</v>
      </c>
      <c r="AC577" t="s">
        <v>74</v>
      </c>
      <c r="AD577" t="s">
        <v>74</v>
      </c>
      <c r="AE577" t="s">
        <v>74</v>
      </c>
      <c r="AF577" t="s">
        <v>74</v>
      </c>
      <c r="AG577">
        <v>36</v>
      </c>
      <c r="AH577">
        <v>14</v>
      </c>
      <c r="AI577">
        <v>15</v>
      </c>
      <c r="AJ577">
        <v>0</v>
      </c>
      <c r="AK577">
        <v>1</v>
      </c>
      <c r="AL577" t="s">
        <v>805</v>
      </c>
      <c r="AM577" t="s">
        <v>278</v>
      </c>
      <c r="AN577" t="s">
        <v>806</v>
      </c>
      <c r="AO577" t="s">
        <v>2610</v>
      </c>
      <c r="AP577" t="s">
        <v>2611</v>
      </c>
      <c r="AQ577" t="s">
        <v>74</v>
      </c>
      <c r="AR577" t="s">
        <v>2612</v>
      </c>
      <c r="AS577" t="s">
        <v>2613</v>
      </c>
      <c r="AT577" t="s">
        <v>7083</v>
      </c>
      <c r="AU577">
        <v>1998</v>
      </c>
      <c r="AV577">
        <v>20</v>
      </c>
      <c r="AW577">
        <v>3</v>
      </c>
      <c r="AX577" t="s">
        <v>74</v>
      </c>
      <c r="AY577" t="s">
        <v>74</v>
      </c>
      <c r="AZ577" t="s">
        <v>74</v>
      </c>
      <c r="BA577" t="s">
        <v>74</v>
      </c>
      <c r="BB577">
        <v>206</v>
      </c>
      <c r="BC577">
        <v>212</v>
      </c>
      <c r="BD577" t="s">
        <v>74</v>
      </c>
      <c r="BE577" t="s">
        <v>7931</v>
      </c>
      <c r="BF577" t="str">
        <f>HYPERLINK("http://dx.doi.org/10.1007/s003000050297","http://dx.doi.org/10.1007/s003000050297")</f>
        <v>http://dx.doi.org/10.1007/s003000050297</v>
      </c>
      <c r="BG577" t="s">
        <v>74</v>
      </c>
      <c r="BH577" t="s">
        <v>74</v>
      </c>
      <c r="BI577">
        <v>7</v>
      </c>
      <c r="BJ577" t="s">
        <v>2615</v>
      </c>
      <c r="BK577" t="s">
        <v>95</v>
      </c>
      <c r="BL577" t="s">
        <v>2616</v>
      </c>
      <c r="BM577" t="s">
        <v>7911</v>
      </c>
      <c r="BN577" t="s">
        <v>74</v>
      </c>
      <c r="BO577" t="s">
        <v>74</v>
      </c>
      <c r="BP577" t="s">
        <v>74</v>
      </c>
      <c r="BQ577" t="s">
        <v>74</v>
      </c>
      <c r="BR577" t="s">
        <v>98</v>
      </c>
      <c r="BS577" t="s">
        <v>7932</v>
      </c>
      <c r="BT577" t="str">
        <f>HYPERLINK("https%3A%2F%2Fwww.webofscience.com%2Fwos%2Fwoscc%2Ffull-record%2FWOS:000075784600007","View Full Record in Web of Science")</f>
        <v>View Full Record in Web of Science</v>
      </c>
    </row>
    <row r="578" spans="1:72" x14ac:dyDescent="0.15">
      <c r="A578" t="s">
        <v>72</v>
      </c>
      <c r="B578" t="s">
        <v>7933</v>
      </c>
      <c r="C578" t="s">
        <v>74</v>
      </c>
      <c r="D578" t="s">
        <v>74</v>
      </c>
      <c r="E578" t="s">
        <v>74</v>
      </c>
      <c r="F578" t="s">
        <v>7933</v>
      </c>
      <c r="G578" t="s">
        <v>74</v>
      </c>
      <c r="H578" t="s">
        <v>74</v>
      </c>
      <c r="I578" t="s">
        <v>7934</v>
      </c>
      <c r="J578" t="s">
        <v>4711</v>
      </c>
      <c r="K578" t="s">
        <v>74</v>
      </c>
      <c r="L578" t="s">
        <v>74</v>
      </c>
      <c r="M578" t="s">
        <v>77</v>
      </c>
      <c r="N578" t="s">
        <v>2667</v>
      </c>
      <c r="O578" t="s">
        <v>74</v>
      </c>
      <c r="P578" t="s">
        <v>74</v>
      </c>
      <c r="Q578" t="s">
        <v>74</v>
      </c>
      <c r="R578" t="s">
        <v>74</v>
      </c>
      <c r="S578" t="s">
        <v>74</v>
      </c>
      <c r="T578" t="s">
        <v>74</v>
      </c>
      <c r="U578" t="s">
        <v>74</v>
      </c>
      <c r="V578" t="s">
        <v>7935</v>
      </c>
      <c r="W578" t="s">
        <v>4067</v>
      </c>
      <c r="X578" t="s">
        <v>2975</v>
      </c>
      <c r="Y578" t="s">
        <v>7936</v>
      </c>
      <c r="Z578" t="s">
        <v>74</v>
      </c>
      <c r="AA578" t="s">
        <v>74</v>
      </c>
      <c r="AB578" t="s">
        <v>74</v>
      </c>
      <c r="AC578" t="s">
        <v>74</v>
      </c>
      <c r="AD578" t="s">
        <v>74</v>
      </c>
      <c r="AE578" t="s">
        <v>74</v>
      </c>
      <c r="AF578" t="s">
        <v>74</v>
      </c>
      <c r="AG578">
        <v>0</v>
      </c>
      <c r="AH578">
        <v>65</v>
      </c>
      <c r="AI578">
        <v>76</v>
      </c>
      <c r="AJ578">
        <v>0</v>
      </c>
      <c r="AK578">
        <v>12</v>
      </c>
      <c r="AL578" t="s">
        <v>1368</v>
      </c>
      <c r="AM578" t="s">
        <v>866</v>
      </c>
      <c r="AN578" t="s">
        <v>1369</v>
      </c>
      <c r="AO578" t="s">
        <v>4720</v>
      </c>
      <c r="AP578" t="s">
        <v>74</v>
      </c>
      <c r="AQ578" t="s">
        <v>74</v>
      </c>
      <c r="AR578" t="s">
        <v>4722</v>
      </c>
      <c r="AS578" t="s">
        <v>4723</v>
      </c>
      <c r="AT578" t="s">
        <v>7083</v>
      </c>
      <c r="AU578">
        <v>1998</v>
      </c>
      <c r="AV578">
        <v>8</v>
      </c>
      <c r="AW578">
        <v>3</v>
      </c>
      <c r="AX578" t="s">
        <v>74</v>
      </c>
      <c r="AY578" t="s">
        <v>74</v>
      </c>
      <c r="AZ578" t="s">
        <v>74</v>
      </c>
      <c r="BA578" t="s">
        <v>74</v>
      </c>
      <c r="BB578">
        <v>349</v>
      </c>
      <c r="BC578">
        <v>356</v>
      </c>
      <c r="BD578" t="s">
        <v>74</v>
      </c>
      <c r="BE578" t="s">
        <v>7937</v>
      </c>
      <c r="BF578" t="str">
        <f>HYPERLINK("http://dx.doi.org/10.1023/A:1008819416162","http://dx.doi.org/10.1023/A:1008819416162")</f>
        <v>http://dx.doi.org/10.1023/A:1008819416162</v>
      </c>
      <c r="BG578" t="s">
        <v>74</v>
      </c>
      <c r="BH578" t="s">
        <v>74</v>
      </c>
      <c r="BI578">
        <v>8</v>
      </c>
      <c r="BJ578" t="s">
        <v>1445</v>
      </c>
      <c r="BK578" t="s">
        <v>95</v>
      </c>
      <c r="BL578" t="s">
        <v>1445</v>
      </c>
      <c r="BM578" t="s">
        <v>7938</v>
      </c>
      <c r="BN578" t="s">
        <v>74</v>
      </c>
      <c r="BO578" t="s">
        <v>74</v>
      </c>
      <c r="BP578" t="s">
        <v>74</v>
      </c>
      <c r="BQ578" t="s">
        <v>74</v>
      </c>
      <c r="BR578" t="s">
        <v>98</v>
      </c>
      <c r="BS578" t="s">
        <v>7939</v>
      </c>
      <c r="BT578" t="str">
        <f>HYPERLINK("https%3A%2F%2Fwww.webofscience.com%2Fwos%2Fwoscc%2Ffull-record%2FWOS:000077486400008","View Full Record in Web of Science")</f>
        <v>View Full Record in Web of Science</v>
      </c>
    </row>
    <row r="579" spans="1:72" x14ac:dyDescent="0.15">
      <c r="A579" t="s">
        <v>72</v>
      </c>
      <c r="B579" t="s">
        <v>7940</v>
      </c>
      <c r="C579" t="s">
        <v>74</v>
      </c>
      <c r="D579" t="s">
        <v>74</v>
      </c>
      <c r="E579" t="s">
        <v>74</v>
      </c>
      <c r="F579" t="s">
        <v>7940</v>
      </c>
      <c r="G579" t="s">
        <v>74</v>
      </c>
      <c r="H579" t="s">
        <v>74</v>
      </c>
      <c r="I579" t="s">
        <v>7941</v>
      </c>
      <c r="J579" t="s">
        <v>7942</v>
      </c>
      <c r="K579" t="s">
        <v>74</v>
      </c>
      <c r="L579" t="s">
        <v>74</v>
      </c>
      <c r="M579" t="s">
        <v>77</v>
      </c>
      <c r="N579" t="s">
        <v>103</v>
      </c>
      <c r="O579" t="s">
        <v>74</v>
      </c>
      <c r="P579" t="s">
        <v>74</v>
      </c>
      <c r="Q579" t="s">
        <v>74</v>
      </c>
      <c r="R579" t="s">
        <v>74</v>
      </c>
      <c r="S579" t="s">
        <v>74</v>
      </c>
      <c r="T579" t="s">
        <v>7943</v>
      </c>
      <c r="U579" t="s">
        <v>74</v>
      </c>
      <c r="V579" t="s">
        <v>7944</v>
      </c>
      <c r="W579" t="s">
        <v>7945</v>
      </c>
      <c r="X579" t="s">
        <v>3408</v>
      </c>
      <c r="Y579" t="s">
        <v>7946</v>
      </c>
      <c r="Z579" t="s">
        <v>74</v>
      </c>
      <c r="AA579" t="s">
        <v>74</v>
      </c>
      <c r="AB579" t="s">
        <v>7947</v>
      </c>
      <c r="AC579" t="s">
        <v>74</v>
      </c>
      <c r="AD579" t="s">
        <v>74</v>
      </c>
      <c r="AE579" t="s">
        <v>74</v>
      </c>
      <c r="AF579" t="s">
        <v>74</v>
      </c>
      <c r="AG579">
        <v>17</v>
      </c>
      <c r="AH579">
        <v>16</v>
      </c>
      <c r="AI579">
        <v>19</v>
      </c>
      <c r="AJ579">
        <v>0</v>
      </c>
      <c r="AK579">
        <v>1</v>
      </c>
      <c r="AL579" t="s">
        <v>7948</v>
      </c>
      <c r="AM579" t="s">
        <v>7949</v>
      </c>
      <c r="AN579" t="s">
        <v>7950</v>
      </c>
      <c r="AO579" t="s">
        <v>7951</v>
      </c>
      <c r="AP579" t="s">
        <v>74</v>
      </c>
      <c r="AQ579" t="s">
        <v>74</v>
      </c>
      <c r="AR579" t="s">
        <v>7952</v>
      </c>
      <c r="AS579" t="s">
        <v>7953</v>
      </c>
      <c r="AT579" t="s">
        <v>7083</v>
      </c>
      <c r="AU579">
        <v>1998</v>
      </c>
      <c r="AV579">
        <v>48</v>
      </c>
      <c r="AW579">
        <v>3</v>
      </c>
      <c r="AX579" t="s">
        <v>74</v>
      </c>
      <c r="AY579" t="s">
        <v>74</v>
      </c>
      <c r="AZ579" t="s">
        <v>74</v>
      </c>
      <c r="BA579" t="s">
        <v>74</v>
      </c>
      <c r="BB579">
        <v>141</v>
      </c>
      <c r="BC579">
        <v>155</v>
      </c>
      <c r="BD579" t="s">
        <v>74</v>
      </c>
      <c r="BE579" t="s">
        <v>74</v>
      </c>
      <c r="BF579" t="s">
        <v>74</v>
      </c>
      <c r="BG579" t="s">
        <v>74</v>
      </c>
      <c r="BH579" t="s">
        <v>74</v>
      </c>
      <c r="BI579">
        <v>15</v>
      </c>
      <c r="BJ579" t="s">
        <v>3619</v>
      </c>
      <c r="BK579" t="s">
        <v>95</v>
      </c>
      <c r="BL579" t="s">
        <v>2191</v>
      </c>
      <c r="BM579" t="s">
        <v>7954</v>
      </c>
      <c r="BN579" t="s">
        <v>74</v>
      </c>
      <c r="BO579" t="s">
        <v>74</v>
      </c>
      <c r="BP579" t="s">
        <v>74</v>
      </c>
      <c r="BQ579" t="s">
        <v>74</v>
      </c>
      <c r="BR579" t="s">
        <v>98</v>
      </c>
      <c r="BS579" t="s">
        <v>7955</v>
      </c>
      <c r="BT579" t="str">
        <f>HYPERLINK("https%3A%2F%2Fwww.webofscience.com%2Fwos%2Fwoscc%2Ffull-record%2FWOS:000076749100001","View Full Record in Web of Science")</f>
        <v>View Full Record in Web of Science</v>
      </c>
    </row>
    <row r="580" spans="1:72" x14ac:dyDescent="0.15">
      <c r="A580" t="s">
        <v>72</v>
      </c>
      <c r="B580" t="s">
        <v>7956</v>
      </c>
      <c r="C580" t="s">
        <v>74</v>
      </c>
      <c r="D580" t="s">
        <v>74</v>
      </c>
      <c r="E580" t="s">
        <v>74</v>
      </c>
      <c r="F580" t="s">
        <v>7956</v>
      </c>
      <c r="G580" t="s">
        <v>74</v>
      </c>
      <c r="H580" t="s">
        <v>74</v>
      </c>
      <c r="I580" t="s">
        <v>7957</v>
      </c>
      <c r="J580" t="s">
        <v>4781</v>
      </c>
      <c r="K580" t="s">
        <v>74</v>
      </c>
      <c r="L580" t="s">
        <v>74</v>
      </c>
      <c r="M580" t="s">
        <v>77</v>
      </c>
      <c r="N580" t="s">
        <v>103</v>
      </c>
      <c r="O580" t="s">
        <v>74</v>
      </c>
      <c r="P580" t="s">
        <v>74</v>
      </c>
      <c r="Q580" t="s">
        <v>74</v>
      </c>
      <c r="R580" t="s">
        <v>74</v>
      </c>
      <c r="S580" t="s">
        <v>74</v>
      </c>
      <c r="T580" t="s">
        <v>7958</v>
      </c>
      <c r="U580" t="s">
        <v>7959</v>
      </c>
      <c r="V580" t="s">
        <v>7960</v>
      </c>
      <c r="W580" t="s">
        <v>7961</v>
      </c>
      <c r="X580" t="s">
        <v>7962</v>
      </c>
      <c r="Y580" t="s">
        <v>7963</v>
      </c>
      <c r="Z580" t="s">
        <v>7964</v>
      </c>
      <c r="AA580" t="s">
        <v>7965</v>
      </c>
      <c r="AB580" t="s">
        <v>7966</v>
      </c>
      <c r="AC580" t="s">
        <v>74</v>
      </c>
      <c r="AD580" t="s">
        <v>74</v>
      </c>
      <c r="AE580" t="s">
        <v>74</v>
      </c>
      <c r="AF580" t="s">
        <v>74</v>
      </c>
      <c r="AG580">
        <v>45</v>
      </c>
      <c r="AH580">
        <v>20</v>
      </c>
      <c r="AI580">
        <v>20</v>
      </c>
      <c r="AJ580">
        <v>0</v>
      </c>
      <c r="AK580">
        <v>4</v>
      </c>
      <c r="AL580" t="s">
        <v>1866</v>
      </c>
      <c r="AM580" t="s">
        <v>1867</v>
      </c>
      <c r="AN580" t="s">
        <v>1868</v>
      </c>
      <c r="AO580" t="s">
        <v>4791</v>
      </c>
      <c r="AP580" t="s">
        <v>7967</v>
      </c>
      <c r="AQ580" t="s">
        <v>74</v>
      </c>
      <c r="AR580" t="s">
        <v>4792</v>
      </c>
      <c r="AS580" t="s">
        <v>4793</v>
      </c>
      <c r="AT580" t="s">
        <v>7968</v>
      </c>
      <c r="AU580">
        <v>1998</v>
      </c>
      <c r="AV580">
        <v>15</v>
      </c>
      <c r="AW580">
        <v>3</v>
      </c>
      <c r="AX580" t="s">
        <v>74</v>
      </c>
      <c r="AY580" t="s">
        <v>74</v>
      </c>
      <c r="AZ580" t="s">
        <v>74</v>
      </c>
      <c r="BA580" t="s">
        <v>74</v>
      </c>
      <c r="BB580">
        <v>303</v>
      </c>
      <c r="BC580">
        <v>310</v>
      </c>
      <c r="BD580" t="s">
        <v>74</v>
      </c>
      <c r="BE580" t="s">
        <v>7969</v>
      </c>
      <c r="BF580" t="str">
        <f>HYPERLINK("http://dx.doi.org/10.3354/ame015303","http://dx.doi.org/10.3354/ame015303")</f>
        <v>http://dx.doi.org/10.3354/ame015303</v>
      </c>
      <c r="BG580" t="s">
        <v>74</v>
      </c>
      <c r="BH580" t="s">
        <v>74</v>
      </c>
      <c r="BI580">
        <v>8</v>
      </c>
      <c r="BJ580" t="s">
        <v>4796</v>
      </c>
      <c r="BK580" t="s">
        <v>95</v>
      </c>
      <c r="BL580" t="s">
        <v>4797</v>
      </c>
      <c r="BM580" t="s">
        <v>7970</v>
      </c>
      <c r="BN580" t="s">
        <v>74</v>
      </c>
      <c r="BO580" t="s">
        <v>1089</v>
      </c>
      <c r="BP580" t="s">
        <v>74</v>
      </c>
      <c r="BQ580" t="s">
        <v>74</v>
      </c>
      <c r="BR580" t="s">
        <v>98</v>
      </c>
      <c r="BS580" t="s">
        <v>7971</v>
      </c>
      <c r="BT580" t="str">
        <f>HYPERLINK("https%3A%2F%2Fwww.webofscience.com%2Fwos%2Fwoscc%2Ffull-record%2FWOS:000075783800011","View Full Record in Web of Science")</f>
        <v>View Full Record in Web of Science</v>
      </c>
    </row>
    <row r="581" spans="1:72" x14ac:dyDescent="0.15">
      <c r="A581" t="s">
        <v>72</v>
      </c>
      <c r="B581" t="s">
        <v>7972</v>
      </c>
      <c r="C581" t="s">
        <v>74</v>
      </c>
      <c r="D581" t="s">
        <v>74</v>
      </c>
      <c r="E581" t="s">
        <v>74</v>
      </c>
      <c r="F581" t="s">
        <v>7972</v>
      </c>
      <c r="G581" t="s">
        <v>74</v>
      </c>
      <c r="H581" t="s">
        <v>74</v>
      </c>
      <c r="I581" t="s">
        <v>7973</v>
      </c>
      <c r="J581" t="s">
        <v>4802</v>
      </c>
      <c r="K581" t="s">
        <v>74</v>
      </c>
      <c r="L581" t="s">
        <v>74</v>
      </c>
      <c r="M581" t="s">
        <v>77</v>
      </c>
      <c r="N581" t="s">
        <v>103</v>
      </c>
      <c r="O581" t="s">
        <v>74</v>
      </c>
      <c r="P581" t="s">
        <v>74</v>
      </c>
      <c r="Q581" t="s">
        <v>74</v>
      </c>
      <c r="R581" t="s">
        <v>74</v>
      </c>
      <c r="S581" t="s">
        <v>74</v>
      </c>
      <c r="T581" t="s">
        <v>74</v>
      </c>
      <c r="U581" t="s">
        <v>7974</v>
      </c>
      <c r="V581" t="s">
        <v>7975</v>
      </c>
      <c r="W581" t="s">
        <v>7976</v>
      </c>
      <c r="X581" t="s">
        <v>7977</v>
      </c>
      <c r="Y581" t="s">
        <v>7978</v>
      </c>
      <c r="Z581" t="s">
        <v>7979</v>
      </c>
      <c r="AA581" t="s">
        <v>7980</v>
      </c>
      <c r="AB581" t="s">
        <v>7981</v>
      </c>
      <c r="AC581" t="s">
        <v>74</v>
      </c>
      <c r="AD581" t="s">
        <v>74</v>
      </c>
      <c r="AE581" t="s">
        <v>74</v>
      </c>
      <c r="AF581" t="s">
        <v>74</v>
      </c>
      <c r="AG581">
        <v>38</v>
      </c>
      <c r="AH581">
        <v>4</v>
      </c>
      <c r="AI581">
        <v>4</v>
      </c>
      <c r="AJ581">
        <v>0</v>
      </c>
      <c r="AK581">
        <v>2</v>
      </c>
      <c r="AL581" t="s">
        <v>966</v>
      </c>
      <c r="AM581" t="s">
        <v>967</v>
      </c>
      <c r="AN581" t="s">
        <v>968</v>
      </c>
      <c r="AO581" t="s">
        <v>4811</v>
      </c>
      <c r="AP581" t="s">
        <v>74</v>
      </c>
      <c r="AQ581" t="s">
        <v>74</v>
      </c>
      <c r="AR581" t="s">
        <v>4813</v>
      </c>
      <c r="AS581" t="s">
        <v>4814</v>
      </c>
      <c r="AT581" t="s">
        <v>7982</v>
      </c>
      <c r="AU581">
        <v>1998</v>
      </c>
      <c r="AV581">
        <v>103</v>
      </c>
      <c r="AW581" t="s">
        <v>7983</v>
      </c>
      <c r="AX581" t="s">
        <v>74</v>
      </c>
      <c r="AY581" t="s">
        <v>74</v>
      </c>
      <c r="AZ581" t="s">
        <v>74</v>
      </c>
      <c r="BA581" t="s">
        <v>74</v>
      </c>
      <c r="BB581">
        <v>19691</v>
      </c>
      <c r="BC581">
        <v>19707</v>
      </c>
      <c r="BD581" t="s">
        <v>74</v>
      </c>
      <c r="BE581" t="s">
        <v>7984</v>
      </c>
      <c r="BF581" t="str">
        <f>HYPERLINK("http://dx.doi.org/10.1029/98JD01368","http://dx.doi.org/10.1029/98JD01368")</f>
        <v>http://dx.doi.org/10.1029/98JD01368</v>
      </c>
      <c r="BG581" t="s">
        <v>74</v>
      </c>
      <c r="BH581" t="s">
        <v>74</v>
      </c>
      <c r="BI581">
        <v>17</v>
      </c>
      <c r="BJ581" t="s">
        <v>1418</v>
      </c>
      <c r="BK581" t="s">
        <v>95</v>
      </c>
      <c r="BL581" t="s">
        <v>1418</v>
      </c>
      <c r="BM581" t="s">
        <v>7985</v>
      </c>
      <c r="BN581" t="s">
        <v>74</v>
      </c>
      <c r="BO581" t="s">
        <v>1089</v>
      </c>
      <c r="BP581" t="s">
        <v>74</v>
      </c>
      <c r="BQ581" t="s">
        <v>74</v>
      </c>
      <c r="BR581" t="s">
        <v>98</v>
      </c>
      <c r="BS581" t="s">
        <v>7986</v>
      </c>
      <c r="BT581" t="str">
        <f>HYPERLINK("https%3A%2F%2Fwww.webofscience.com%2Fwos%2Fwoscc%2Ffull-record%2FWOS:000075595400020","View Full Record in Web of Science")</f>
        <v>View Full Record in Web of Science</v>
      </c>
    </row>
    <row r="582" spans="1:72" x14ac:dyDescent="0.15">
      <c r="A582" t="s">
        <v>72</v>
      </c>
      <c r="B582" t="s">
        <v>7987</v>
      </c>
      <c r="C582" t="s">
        <v>74</v>
      </c>
      <c r="D582" t="s">
        <v>74</v>
      </c>
      <c r="E582" t="s">
        <v>74</v>
      </c>
      <c r="F582" t="s">
        <v>7987</v>
      </c>
      <c r="G582" t="s">
        <v>74</v>
      </c>
      <c r="H582" t="s">
        <v>74</v>
      </c>
      <c r="I582" t="s">
        <v>7988</v>
      </c>
      <c r="J582" t="s">
        <v>7989</v>
      </c>
      <c r="K582" t="s">
        <v>74</v>
      </c>
      <c r="L582" t="s">
        <v>74</v>
      </c>
      <c r="M582" t="s">
        <v>77</v>
      </c>
      <c r="N582" t="s">
        <v>103</v>
      </c>
      <c r="O582" t="s">
        <v>74</v>
      </c>
      <c r="P582" t="s">
        <v>74</v>
      </c>
      <c r="Q582" t="s">
        <v>74</v>
      </c>
      <c r="R582" t="s">
        <v>74</v>
      </c>
      <c r="S582" t="s">
        <v>74</v>
      </c>
      <c r="T582" t="s">
        <v>7990</v>
      </c>
      <c r="U582" t="s">
        <v>7991</v>
      </c>
      <c r="V582" t="s">
        <v>7992</v>
      </c>
      <c r="W582" t="s">
        <v>7993</v>
      </c>
      <c r="X582" t="s">
        <v>7994</v>
      </c>
      <c r="Y582" t="s">
        <v>7995</v>
      </c>
      <c r="Z582" t="s">
        <v>74</v>
      </c>
      <c r="AA582" t="s">
        <v>7996</v>
      </c>
      <c r="AB582" t="s">
        <v>7997</v>
      </c>
      <c r="AC582" t="s">
        <v>74</v>
      </c>
      <c r="AD582" t="s">
        <v>74</v>
      </c>
      <c r="AE582" t="s">
        <v>74</v>
      </c>
      <c r="AF582" t="s">
        <v>74</v>
      </c>
      <c r="AG582">
        <v>41</v>
      </c>
      <c r="AH582">
        <v>97</v>
      </c>
      <c r="AI582">
        <v>109</v>
      </c>
      <c r="AJ582">
        <v>0</v>
      </c>
      <c r="AK582">
        <v>2</v>
      </c>
      <c r="AL582" t="s">
        <v>1037</v>
      </c>
      <c r="AM582" t="s">
        <v>1038</v>
      </c>
      <c r="AN582" t="s">
        <v>1039</v>
      </c>
      <c r="AO582" t="s">
        <v>7998</v>
      </c>
      <c r="AP582" t="s">
        <v>74</v>
      </c>
      <c r="AQ582" t="s">
        <v>74</v>
      </c>
      <c r="AR582" t="s">
        <v>7999</v>
      </c>
      <c r="AS582" t="s">
        <v>8000</v>
      </c>
      <c r="AT582" t="s">
        <v>7982</v>
      </c>
      <c r="AU582">
        <v>1998</v>
      </c>
      <c r="AV582">
        <v>434</v>
      </c>
      <c r="AW582" t="s">
        <v>1282</v>
      </c>
      <c r="AX582" t="s">
        <v>74</v>
      </c>
      <c r="AY582" t="s">
        <v>74</v>
      </c>
      <c r="AZ582" t="s">
        <v>74</v>
      </c>
      <c r="BA582" t="s">
        <v>74</v>
      </c>
      <c r="BB582">
        <v>396</v>
      </c>
      <c r="BC582">
        <v>406</v>
      </c>
      <c r="BD582" t="s">
        <v>74</v>
      </c>
      <c r="BE582" t="s">
        <v>8001</v>
      </c>
      <c r="BF582" t="str">
        <f>HYPERLINK("http://dx.doi.org/10.1016/S0370-2693(98)00905-8","http://dx.doi.org/10.1016/S0370-2693(98)00905-8")</f>
        <v>http://dx.doi.org/10.1016/S0370-2693(98)00905-8</v>
      </c>
      <c r="BG582" t="s">
        <v>74</v>
      </c>
      <c r="BH582" t="s">
        <v>74</v>
      </c>
      <c r="BI582">
        <v>11</v>
      </c>
      <c r="BJ582" t="s">
        <v>8002</v>
      </c>
      <c r="BK582" t="s">
        <v>95</v>
      </c>
      <c r="BL582" t="s">
        <v>8003</v>
      </c>
      <c r="BM582" t="s">
        <v>8004</v>
      </c>
      <c r="BN582" t="s">
        <v>74</v>
      </c>
      <c r="BO582" t="s">
        <v>483</v>
      </c>
      <c r="BP582" t="s">
        <v>74</v>
      </c>
      <c r="BQ582" t="s">
        <v>74</v>
      </c>
      <c r="BR582" t="s">
        <v>98</v>
      </c>
      <c r="BS582" t="s">
        <v>8005</v>
      </c>
      <c r="BT582" t="str">
        <f>HYPERLINK("https%3A%2F%2Fwww.webofscience.com%2Fwos%2Fwoscc%2Ffull-record%2FWOS:000075879400023","View Full Record in Web of Science")</f>
        <v>View Full Record in Web of Science</v>
      </c>
    </row>
    <row r="583" spans="1:72" x14ac:dyDescent="0.15">
      <c r="A583" t="s">
        <v>72</v>
      </c>
      <c r="B583" t="s">
        <v>8006</v>
      </c>
      <c r="C583" t="s">
        <v>74</v>
      </c>
      <c r="D583" t="s">
        <v>74</v>
      </c>
      <c r="E583" t="s">
        <v>74</v>
      </c>
      <c r="F583" t="s">
        <v>8006</v>
      </c>
      <c r="G583" t="s">
        <v>74</v>
      </c>
      <c r="H583" t="s">
        <v>74</v>
      </c>
      <c r="I583" t="s">
        <v>8007</v>
      </c>
      <c r="J583" t="s">
        <v>4802</v>
      </c>
      <c r="K583" t="s">
        <v>74</v>
      </c>
      <c r="L583" t="s">
        <v>74</v>
      </c>
      <c r="M583" t="s">
        <v>77</v>
      </c>
      <c r="N583" t="s">
        <v>103</v>
      </c>
      <c r="O583" t="s">
        <v>74</v>
      </c>
      <c r="P583" t="s">
        <v>74</v>
      </c>
      <c r="Q583" t="s">
        <v>74</v>
      </c>
      <c r="R583" t="s">
        <v>74</v>
      </c>
      <c r="S583" t="s">
        <v>74</v>
      </c>
      <c r="T583" t="s">
        <v>74</v>
      </c>
      <c r="U583" t="s">
        <v>8008</v>
      </c>
      <c r="V583" t="s">
        <v>8009</v>
      </c>
      <c r="W583" t="s">
        <v>8010</v>
      </c>
      <c r="X583" t="s">
        <v>8011</v>
      </c>
      <c r="Y583" t="s">
        <v>8012</v>
      </c>
      <c r="Z583" t="s">
        <v>8013</v>
      </c>
      <c r="AA583" t="s">
        <v>8014</v>
      </c>
      <c r="AB583" t="s">
        <v>8015</v>
      </c>
      <c r="AC583" t="s">
        <v>74</v>
      </c>
      <c r="AD583" t="s">
        <v>74</v>
      </c>
      <c r="AE583" t="s">
        <v>74</v>
      </c>
      <c r="AF583" t="s">
        <v>74</v>
      </c>
      <c r="AG583">
        <v>33</v>
      </c>
      <c r="AH583">
        <v>21</v>
      </c>
      <c r="AI583">
        <v>23</v>
      </c>
      <c r="AJ583">
        <v>0</v>
      </c>
      <c r="AK583">
        <v>9</v>
      </c>
      <c r="AL583" t="s">
        <v>966</v>
      </c>
      <c r="AM583" t="s">
        <v>967</v>
      </c>
      <c r="AN583" t="s">
        <v>968</v>
      </c>
      <c r="AO583" t="s">
        <v>4811</v>
      </c>
      <c r="AP583" t="s">
        <v>4812</v>
      </c>
      <c r="AQ583" t="s">
        <v>74</v>
      </c>
      <c r="AR583" t="s">
        <v>4813</v>
      </c>
      <c r="AS583" t="s">
        <v>4814</v>
      </c>
      <c r="AT583" t="s">
        <v>8016</v>
      </c>
      <c r="AU583">
        <v>1998</v>
      </c>
      <c r="AV583">
        <v>103</v>
      </c>
      <c r="AW583" t="s">
        <v>8017</v>
      </c>
      <c r="AX583" t="s">
        <v>74</v>
      </c>
      <c r="AY583" t="s">
        <v>74</v>
      </c>
      <c r="AZ583" t="s">
        <v>74</v>
      </c>
      <c r="BA583" t="s">
        <v>74</v>
      </c>
      <c r="BB583">
        <v>18885</v>
      </c>
      <c r="BC583">
        <v>18894</v>
      </c>
      <c r="BD583" t="s">
        <v>74</v>
      </c>
      <c r="BE583" t="s">
        <v>8018</v>
      </c>
      <c r="BF583" t="str">
        <f>HYPERLINK("http://dx.doi.org/10.1029/98JD01107","http://dx.doi.org/10.1029/98JD01107")</f>
        <v>http://dx.doi.org/10.1029/98JD01107</v>
      </c>
      <c r="BG583" t="s">
        <v>74</v>
      </c>
      <c r="BH583" t="s">
        <v>74</v>
      </c>
      <c r="BI583">
        <v>10</v>
      </c>
      <c r="BJ583" t="s">
        <v>1418</v>
      </c>
      <c r="BK583" t="s">
        <v>95</v>
      </c>
      <c r="BL583" t="s">
        <v>1418</v>
      </c>
      <c r="BM583" t="s">
        <v>8019</v>
      </c>
      <c r="BN583" t="s">
        <v>74</v>
      </c>
      <c r="BO583" t="s">
        <v>2825</v>
      </c>
      <c r="BP583" t="s">
        <v>74</v>
      </c>
      <c r="BQ583" t="s">
        <v>74</v>
      </c>
      <c r="BR583" t="s">
        <v>98</v>
      </c>
      <c r="BS583" t="s">
        <v>8020</v>
      </c>
      <c r="BT583" t="str">
        <f>HYPERLINK("https%3A%2F%2Fwww.webofscience.com%2Fwos%2Fwoscc%2Ffull-record%2FWOS:000075495500001","View Full Record in Web of Science")</f>
        <v>View Full Record in Web of Science</v>
      </c>
    </row>
    <row r="584" spans="1:72" x14ac:dyDescent="0.15">
      <c r="A584" t="s">
        <v>72</v>
      </c>
      <c r="B584" t="s">
        <v>8021</v>
      </c>
      <c r="C584" t="s">
        <v>74</v>
      </c>
      <c r="D584" t="s">
        <v>74</v>
      </c>
      <c r="E584" t="s">
        <v>74</v>
      </c>
      <c r="F584" t="s">
        <v>8021</v>
      </c>
      <c r="G584" t="s">
        <v>74</v>
      </c>
      <c r="H584" t="s">
        <v>74</v>
      </c>
      <c r="I584" t="s">
        <v>8022</v>
      </c>
      <c r="J584" t="s">
        <v>4802</v>
      </c>
      <c r="K584" t="s">
        <v>74</v>
      </c>
      <c r="L584" t="s">
        <v>74</v>
      </c>
      <c r="M584" t="s">
        <v>77</v>
      </c>
      <c r="N584" t="s">
        <v>103</v>
      </c>
      <c r="O584" t="s">
        <v>74</v>
      </c>
      <c r="P584" t="s">
        <v>74</v>
      </c>
      <c r="Q584" t="s">
        <v>74</v>
      </c>
      <c r="R584" t="s">
        <v>74</v>
      </c>
      <c r="S584" t="s">
        <v>74</v>
      </c>
      <c r="T584" t="s">
        <v>74</v>
      </c>
      <c r="U584" t="s">
        <v>8023</v>
      </c>
      <c r="V584" t="s">
        <v>8024</v>
      </c>
      <c r="W584" t="s">
        <v>8025</v>
      </c>
      <c r="X584" t="s">
        <v>8026</v>
      </c>
      <c r="Y584" t="s">
        <v>8027</v>
      </c>
      <c r="Z584" t="s">
        <v>8028</v>
      </c>
      <c r="AA584" t="s">
        <v>74</v>
      </c>
      <c r="AB584" t="s">
        <v>74</v>
      </c>
      <c r="AC584" t="s">
        <v>74</v>
      </c>
      <c r="AD584" t="s">
        <v>74</v>
      </c>
      <c r="AE584" t="s">
        <v>74</v>
      </c>
      <c r="AF584" t="s">
        <v>74</v>
      </c>
      <c r="AG584">
        <v>34</v>
      </c>
      <c r="AH584">
        <v>8</v>
      </c>
      <c r="AI584">
        <v>9</v>
      </c>
      <c r="AJ584">
        <v>0</v>
      </c>
      <c r="AK584">
        <v>0</v>
      </c>
      <c r="AL584" t="s">
        <v>966</v>
      </c>
      <c r="AM584" t="s">
        <v>967</v>
      </c>
      <c r="AN584" t="s">
        <v>968</v>
      </c>
      <c r="AO584" t="s">
        <v>4811</v>
      </c>
      <c r="AP584" t="s">
        <v>4812</v>
      </c>
      <c r="AQ584" t="s">
        <v>74</v>
      </c>
      <c r="AR584" t="s">
        <v>4813</v>
      </c>
      <c r="AS584" t="s">
        <v>4814</v>
      </c>
      <c r="AT584" t="s">
        <v>8016</v>
      </c>
      <c r="AU584">
        <v>1998</v>
      </c>
      <c r="AV584">
        <v>103</v>
      </c>
      <c r="AW584" t="s">
        <v>8017</v>
      </c>
      <c r="AX584" t="s">
        <v>74</v>
      </c>
      <c r="AY584" t="s">
        <v>74</v>
      </c>
      <c r="AZ584" t="s">
        <v>74</v>
      </c>
      <c r="BA584" t="s">
        <v>74</v>
      </c>
      <c r="BB584">
        <v>19337</v>
      </c>
      <c r="BC584">
        <v>19345</v>
      </c>
      <c r="BD584" t="s">
        <v>74</v>
      </c>
      <c r="BE584" t="s">
        <v>8029</v>
      </c>
      <c r="BF584" t="str">
        <f>HYPERLINK("http://dx.doi.org/10.1029/97JD02299","http://dx.doi.org/10.1029/97JD02299")</f>
        <v>http://dx.doi.org/10.1029/97JD02299</v>
      </c>
      <c r="BG584" t="s">
        <v>74</v>
      </c>
      <c r="BH584" t="s">
        <v>74</v>
      </c>
      <c r="BI584">
        <v>9</v>
      </c>
      <c r="BJ584" t="s">
        <v>1418</v>
      </c>
      <c r="BK584" t="s">
        <v>95</v>
      </c>
      <c r="BL584" t="s">
        <v>1418</v>
      </c>
      <c r="BM584" t="s">
        <v>8019</v>
      </c>
      <c r="BN584" t="s">
        <v>74</v>
      </c>
      <c r="BO584" t="s">
        <v>1089</v>
      </c>
      <c r="BP584" t="s">
        <v>74</v>
      </c>
      <c r="BQ584" t="s">
        <v>74</v>
      </c>
      <c r="BR584" t="s">
        <v>98</v>
      </c>
      <c r="BS584" t="s">
        <v>8030</v>
      </c>
      <c r="BT584" t="str">
        <f>HYPERLINK("https%3A%2F%2Fwww.webofscience.com%2Fwos%2Fwoscc%2Ffull-record%2FWOS:000075495500037","View Full Record in Web of Science")</f>
        <v>View Full Record in Web of Science</v>
      </c>
    </row>
    <row r="585" spans="1:72" x14ac:dyDescent="0.15">
      <c r="A585" t="s">
        <v>72</v>
      </c>
      <c r="B585" t="s">
        <v>8031</v>
      </c>
      <c r="C585" t="s">
        <v>74</v>
      </c>
      <c r="D585" t="s">
        <v>74</v>
      </c>
      <c r="E585" t="s">
        <v>74</v>
      </c>
      <c r="F585" t="s">
        <v>8031</v>
      </c>
      <c r="G585" t="s">
        <v>74</v>
      </c>
      <c r="H585" t="s">
        <v>74</v>
      </c>
      <c r="I585" t="s">
        <v>8032</v>
      </c>
      <c r="J585" t="s">
        <v>6726</v>
      </c>
      <c r="K585" t="s">
        <v>74</v>
      </c>
      <c r="L585" t="s">
        <v>74</v>
      </c>
      <c r="M585" t="s">
        <v>77</v>
      </c>
      <c r="N585" t="s">
        <v>103</v>
      </c>
      <c r="O585" t="s">
        <v>74</v>
      </c>
      <c r="P585" t="s">
        <v>74</v>
      </c>
      <c r="Q585" t="s">
        <v>74</v>
      </c>
      <c r="R585" t="s">
        <v>74</v>
      </c>
      <c r="S585" t="s">
        <v>74</v>
      </c>
      <c r="T585" t="s">
        <v>74</v>
      </c>
      <c r="U585" t="s">
        <v>8033</v>
      </c>
      <c r="V585" t="s">
        <v>8034</v>
      </c>
      <c r="W585" t="s">
        <v>8035</v>
      </c>
      <c r="X585" t="s">
        <v>8036</v>
      </c>
      <c r="Y585" t="s">
        <v>8037</v>
      </c>
      <c r="Z585" t="s">
        <v>8038</v>
      </c>
      <c r="AA585" t="s">
        <v>8039</v>
      </c>
      <c r="AB585" t="s">
        <v>3304</v>
      </c>
      <c r="AC585" t="s">
        <v>74</v>
      </c>
      <c r="AD585" t="s">
        <v>74</v>
      </c>
      <c r="AE585" t="s">
        <v>74</v>
      </c>
      <c r="AF585" t="s">
        <v>74</v>
      </c>
      <c r="AG585">
        <v>51</v>
      </c>
      <c r="AH585">
        <v>579</v>
      </c>
      <c r="AI585">
        <v>641</v>
      </c>
      <c r="AJ585">
        <v>3</v>
      </c>
      <c r="AK585">
        <v>140</v>
      </c>
      <c r="AL585" t="s">
        <v>6731</v>
      </c>
      <c r="AM585" t="s">
        <v>1121</v>
      </c>
      <c r="AN585" t="s">
        <v>6732</v>
      </c>
      <c r="AO585" t="s">
        <v>6733</v>
      </c>
      <c r="AP585" t="s">
        <v>74</v>
      </c>
      <c r="AQ585" t="s">
        <v>74</v>
      </c>
      <c r="AR585" t="s">
        <v>6726</v>
      </c>
      <c r="AS585" t="s">
        <v>6734</v>
      </c>
      <c r="AT585" t="s">
        <v>8016</v>
      </c>
      <c r="AU585">
        <v>1998</v>
      </c>
      <c r="AV585">
        <v>394</v>
      </c>
      <c r="AW585">
        <v>6695</v>
      </c>
      <c r="AX585" t="s">
        <v>74</v>
      </c>
      <c r="AY585" t="s">
        <v>74</v>
      </c>
      <c r="AZ585" t="s">
        <v>74</v>
      </c>
      <c r="BA585" t="s">
        <v>74</v>
      </c>
      <c r="BB585">
        <v>739</v>
      </c>
      <c r="BC585">
        <v>743</v>
      </c>
      <c r="BD585" t="s">
        <v>74</v>
      </c>
      <c r="BE585" t="s">
        <v>8040</v>
      </c>
      <c r="BF585" t="str">
        <f>HYPERLINK("http://dx.doi.org/10.1038/29447","http://dx.doi.org/10.1038/29447")</f>
        <v>http://dx.doi.org/10.1038/29447</v>
      </c>
      <c r="BG585" t="s">
        <v>74</v>
      </c>
      <c r="BH585" t="s">
        <v>74</v>
      </c>
      <c r="BI585">
        <v>5</v>
      </c>
      <c r="BJ585" t="s">
        <v>3377</v>
      </c>
      <c r="BK585" t="s">
        <v>95</v>
      </c>
      <c r="BL585" t="s">
        <v>3378</v>
      </c>
      <c r="BM585" t="s">
        <v>8041</v>
      </c>
      <c r="BN585" t="s">
        <v>74</v>
      </c>
      <c r="BO585" t="s">
        <v>74</v>
      </c>
      <c r="BP585" t="s">
        <v>74</v>
      </c>
      <c r="BQ585" t="s">
        <v>74</v>
      </c>
      <c r="BR585" t="s">
        <v>98</v>
      </c>
      <c r="BS585" t="s">
        <v>8042</v>
      </c>
      <c r="BT585" t="str">
        <f>HYPERLINK("https%3A%2F%2Fwww.webofscience.com%2Fwos%2Fwoscc%2Ffull-record%2FWOS:000075503600034","View Full Record in Web of Science")</f>
        <v>View Full Record in Web of Science</v>
      </c>
    </row>
    <row r="586" spans="1:72" x14ac:dyDescent="0.15">
      <c r="A586" t="s">
        <v>72</v>
      </c>
      <c r="B586" t="s">
        <v>8043</v>
      </c>
      <c r="C586" t="s">
        <v>74</v>
      </c>
      <c r="D586" t="s">
        <v>74</v>
      </c>
      <c r="E586" t="s">
        <v>74</v>
      </c>
      <c r="F586" t="s">
        <v>8043</v>
      </c>
      <c r="G586" t="s">
        <v>74</v>
      </c>
      <c r="H586" t="s">
        <v>74</v>
      </c>
      <c r="I586" t="s">
        <v>8044</v>
      </c>
      <c r="J586" t="s">
        <v>958</v>
      </c>
      <c r="K586" t="s">
        <v>74</v>
      </c>
      <c r="L586" t="s">
        <v>74</v>
      </c>
      <c r="M586" t="s">
        <v>77</v>
      </c>
      <c r="N586" t="s">
        <v>103</v>
      </c>
      <c r="O586" t="s">
        <v>74</v>
      </c>
      <c r="P586" t="s">
        <v>74</v>
      </c>
      <c r="Q586" t="s">
        <v>74</v>
      </c>
      <c r="R586" t="s">
        <v>74</v>
      </c>
      <c r="S586" t="s">
        <v>74</v>
      </c>
      <c r="T586" t="s">
        <v>74</v>
      </c>
      <c r="U586" t="s">
        <v>8045</v>
      </c>
      <c r="V586" t="s">
        <v>8046</v>
      </c>
      <c r="W586" t="s">
        <v>8047</v>
      </c>
      <c r="X586" t="s">
        <v>8048</v>
      </c>
      <c r="Y586" t="s">
        <v>8049</v>
      </c>
      <c r="Z586" t="s">
        <v>8050</v>
      </c>
      <c r="AA586" t="s">
        <v>8051</v>
      </c>
      <c r="AB586" t="s">
        <v>8052</v>
      </c>
      <c r="AC586" t="s">
        <v>74</v>
      </c>
      <c r="AD586" t="s">
        <v>74</v>
      </c>
      <c r="AE586" t="s">
        <v>74</v>
      </c>
      <c r="AF586" t="s">
        <v>74</v>
      </c>
      <c r="AG586">
        <v>21</v>
      </c>
      <c r="AH586">
        <v>26</v>
      </c>
      <c r="AI586">
        <v>30</v>
      </c>
      <c r="AJ586">
        <v>1</v>
      </c>
      <c r="AK586">
        <v>4</v>
      </c>
      <c r="AL586" t="s">
        <v>966</v>
      </c>
      <c r="AM586" t="s">
        <v>967</v>
      </c>
      <c r="AN586" t="s">
        <v>968</v>
      </c>
      <c r="AO586" t="s">
        <v>969</v>
      </c>
      <c r="AP586" t="s">
        <v>5234</v>
      </c>
      <c r="AQ586" t="s">
        <v>74</v>
      </c>
      <c r="AR586" t="s">
        <v>970</v>
      </c>
      <c r="AS586" t="s">
        <v>971</v>
      </c>
      <c r="AT586" t="s">
        <v>8053</v>
      </c>
      <c r="AU586">
        <v>1998</v>
      </c>
      <c r="AV586">
        <v>25</v>
      </c>
      <c r="AW586">
        <v>16</v>
      </c>
      <c r="AX586" t="s">
        <v>74</v>
      </c>
      <c r="AY586" t="s">
        <v>74</v>
      </c>
      <c r="AZ586" t="s">
        <v>74</v>
      </c>
      <c r="BA586" t="s">
        <v>74</v>
      </c>
      <c r="BB586">
        <v>3173</v>
      </c>
      <c r="BC586">
        <v>3176</v>
      </c>
      <c r="BD586" t="s">
        <v>74</v>
      </c>
      <c r="BE586" t="s">
        <v>8054</v>
      </c>
      <c r="BF586" t="str">
        <f>HYPERLINK("http://dx.doi.org/10.1029/98GL52327","http://dx.doi.org/10.1029/98GL52327")</f>
        <v>http://dx.doi.org/10.1029/98GL52327</v>
      </c>
      <c r="BG586" t="s">
        <v>74</v>
      </c>
      <c r="BH586" t="s">
        <v>74</v>
      </c>
      <c r="BI586">
        <v>4</v>
      </c>
      <c r="BJ586" t="s">
        <v>192</v>
      </c>
      <c r="BK586" t="s">
        <v>95</v>
      </c>
      <c r="BL586" t="s">
        <v>193</v>
      </c>
      <c r="BM586" t="s">
        <v>8055</v>
      </c>
      <c r="BN586" t="s">
        <v>74</v>
      </c>
      <c r="BO586" t="s">
        <v>74</v>
      </c>
      <c r="BP586" t="s">
        <v>74</v>
      </c>
      <c r="BQ586" t="s">
        <v>74</v>
      </c>
      <c r="BR586" t="s">
        <v>98</v>
      </c>
      <c r="BS586" t="s">
        <v>8056</v>
      </c>
      <c r="BT586" t="str">
        <f>HYPERLINK("https%3A%2F%2Fwww.webofscience.com%2Fwos%2Fwoscc%2Ffull-record%2FWOS:000075462000031","View Full Record in Web of Science")</f>
        <v>View Full Record in Web of Science</v>
      </c>
    </row>
    <row r="587" spans="1:72" x14ac:dyDescent="0.15">
      <c r="A587" t="s">
        <v>72</v>
      </c>
      <c r="B587" t="s">
        <v>8057</v>
      </c>
      <c r="C587" t="s">
        <v>74</v>
      </c>
      <c r="D587" t="s">
        <v>74</v>
      </c>
      <c r="E587" t="s">
        <v>74</v>
      </c>
      <c r="F587" t="s">
        <v>8057</v>
      </c>
      <c r="G587" t="s">
        <v>74</v>
      </c>
      <c r="H587" t="s">
        <v>74</v>
      </c>
      <c r="I587" t="s">
        <v>8058</v>
      </c>
      <c r="J587" t="s">
        <v>3825</v>
      </c>
      <c r="K587" t="s">
        <v>74</v>
      </c>
      <c r="L587" t="s">
        <v>74</v>
      </c>
      <c r="M587" t="s">
        <v>77</v>
      </c>
      <c r="N587" t="s">
        <v>103</v>
      </c>
      <c r="O587" t="s">
        <v>74</v>
      </c>
      <c r="P587" t="s">
        <v>74</v>
      </c>
      <c r="Q587" t="s">
        <v>74</v>
      </c>
      <c r="R587" t="s">
        <v>74</v>
      </c>
      <c r="S587" t="s">
        <v>74</v>
      </c>
      <c r="T587" t="s">
        <v>74</v>
      </c>
      <c r="U587" t="s">
        <v>8059</v>
      </c>
      <c r="V587" t="s">
        <v>8060</v>
      </c>
      <c r="W587" t="s">
        <v>8061</v>
      </c>
      <c r="X587" t="s">
        <v>8062</v>
      </c>
      <c r="Y587" t="s">
        <v>8063</v>
      </c>
      <c r="Z587" t="s">
        <v>74</v>
      </c>
      <c r="AA587" t="s">
        <v>8064</v>
      </c>
      <c r="AB587" t="s">
        <v>8065</v>
      </c>
      <c r="AC587" t="s">
        <v>74</v>
      </c>
      <c r="AD587" t="s">
        <v>74</v>
      </c>
      <c r="AE587" t="s">
        <v>74</v>
      </c>
      <c r="AF587" t="s">
        <v>74</v>
      </c>
      <c r="AG587">
        <v>31</v>
      </c>
      <c r="AH587">
        <v>110</v>
      </c>
      <c r="AI587">
        <v>116</v>
      </c>
      <c r="AJ587">
        <v>1</v>
      </c>
      <c r="AK587">
        <v>29</v>
      </c>
      <c r="AL587" t="s">
        <v>966</v>
      </c>
      <c r="AM587" t="s">
        <v>967</v>
      </c>
      <c r="AN587" t="s">
        <v>968</v>
      </c>
      <c r="AO587" t="s">
        <v>74</v>
      </c>
      <c r="AP587" t="s">
        <v>74</v>
      </c>
      <c r="AQ587" t="s">
        <v>74</v>
      </c>
      <c r="AR587" t="s">
        <v>3835</v>
      </c>
      <c r="AS587" t="s">
        <v>3836</v>
      </c>
      <c r="AT587" t="s">
        <v>8053</v>
      </c>
      <c r="AU587">
        <v>1998</v>
      </c>
      <c r="AV587">
        <v>103</v>
      </c>
      <c r="AW587" t="s">
        <v>8066</v>
      </c>
      <c r="AX587" t="s">
        <v>74</v>
      </c>
      <c r="AY587" t="s">
        <v>74</v>
      </c>
      <c r="AZ587" t="s">
        <v>74</v>
      </c>
      <c r="BA587" t="s">
        <v>74</v>
      </c>
      <c r="BB587">
        <v>18599</v>
      </c>
      <c r="BC587">
        <v>18609</v>
      </c>
      <c r="BD587" t="s">
        <v>74</v>
      </c>
      <c r="BE587" t="s">
        <v>8067</v>
      </c>
      <c r="BF587" t="str">
        <f>HYPERLINK("http://dx.doi.org/10.1029/98JC00889","http://dx.doi.org/10.1029/98JC00889")</f>
        <v>http://dx.doi.org/10.1029/98JC00889</v>
      </c>
      <c r="BG587" t="s">
        <v>74</v>
      </c>
      <c r="BH587" t="s">
        <v>74</v>
      </c>
      <c r="BI587">
        <v>11</v>
      </c>
      <c r="BJ587" t="s">
        <v>451</v>
      </c>
      <c r="BK587" t="s">
        <v>95</v>
      </c>
      <c r="BL587" t="s">
        <v>451</v>
      </c>
      <c r="BM587" t="s">
        <v>8068</v>
      </c>
      <c r="BN587" t="s">
        <v>74</v>
      </c>
      <c r="BO587" t="s">
        <v>2825</v>
      </c>
      <c r="BP587" t="s">
        <v>74</v>
      </c>
      <c r="BQ587" t="s">
        <v>74</v>
      </c>
      <c r="BR587" t="s">
        <v>98</v>
      </c>
      <c r="BS587" t="s">
        <v>8069</v>
      </c>
      <c r="BT587" t="str">
        <f>HYPERLINK("https%3A%2F%2Fwww.webofscience.com%2Fwos%2Fwoscc%2Ffull-record%2FWOS:000075363700016","View Full Record in Web of Science")</f>
        <v>View Full Record in Web of Science</v>
      </c>
    </row>
    <row r="588" spans="1:72" x14ac:dyDescent="0.15">
      <c r="A588" t="s">
        <v>72</v>
      </c>
      <c r="B588" t="s">
        <v>8070</v>
      </c>
      <c r="C588" t="s">
        <v>74</v>
      </c>
      <c r="D588" t="s">
        <v>74</v>
      </c>
      <c r="E588" t="s">
        <v>74</v>
      </c>
      <c r="F588" t="s">
        <v>8070</v>
      </c>
      <c r="G588" t="s">
        <v>74</v>
      </c>
      <c r="H588" t="s">
        <v>74</v>
      </c>
      <c r="I588" t="s">
        <v>8071</v>
      </c>
      <c r="J588" t="s">
        <v>3825</v>
      </c>
      <c r="K588" t="s">
        <v>74</v>
      </c>
      <c r="L588" t="s">
        <v>74</v>
      </c>
      <c r="M588" t="s">
        <v>77</v>
      </c>
      <c r="N588" t="s">
        <v>103</v>
      </c>
      <c r="O588" t="s">
        <v>74</v>
      </c>
      <c r="P588" t="s">
        <v>74</v>
      </c>
      <c r="Q588" t="s">
        <v>74</v>
      </c>
      <c r="R588" t="s">
        <v>74</v>
      </c>
      <c r="S588" t="s">
        <v>74</v>
      </c>
      <c r="T588" t="s">
        <v>74</v>
      </c>
      <c r="U588" t="s">
        <v>8072</v>
      </c>
      <c r="V588" t="s">
        <v>8073</v>
      </c>
      <c r="W588" t="s">
        <v>8074</v>
      </c>
      <c r="X588" t="s">
        <v>8075</v>
      </c>
      <c r="Y588" t="s">
        <v>8076</v>
      </c>
      <c r="Z588" t="s">
        <v>74</v>
      </c>
      <c r="AA588" t="s">
        <v>74</v>
      </c>
      <c r="AB588" t="s">
        <v>74</v>
      </c>
      <c r="AC588" t="s">
        <v>74</v>
      </c>
      <c r="AD588" t="s">
        <v>74</v>
      </c>
      <c r="AE588" t="s">
        <v>74</v>
      </c>
      <c r="AF588" t="s">
        <v>74</v>
      </c>
      <c r="AG588">
        <v>23</v>
      </c>
      <c r="AH588">
        <v>9</v>
      </c>
      <c r="AI588">
        <v>10</v>
      </c>
      <c r="AJ588">
        <v>0</v>
      </c>
      <c r="AK588">
        <v>3</v>
      </c>
      <c r="AL588" t="s">
        <v>966</v>
      </c>
      <c r="AM588" t="s">
        <v>967</v>
      </c>
      <c r="AN588" t="s">
        <v>968</v>
      </c>
      <c r="AO588" t="s">
        <v>74</v>
      </c>
      <c r="AP588" t="s">
        <v>74</v>
      </c>
      <c r="AQ588" t="s">
        <v>74</v>
      </c>
      <c r="AR588" t="s">
        <v>3835</v>
      </c>
      <c r="AS588" t="s">
        <v>3836</v>
      </c>
      <c r="AT588" t="s">
        <v>8053</v>
      </c>
      <c r="AU588">
        <v>1998</v>
      </c>
      <c r="AV588">
        <v>103</v>
      </c>
      <c r="AW588" t="s">
        <v>8066</v>
      </c>
      <c r="AX588" t="s">
        <v>74</v>
      </c>
      <c r="AY588" t="s">
        <v>74</v>
      </c>
      <c r="AZ588" t="s">
        <v>74</v>
      </c>
      <c r="BA588" t="s">
        <v>74</v>
      </c>
      <c r="BB588">
        <v>18665</v>
      </c>
      <c r="BC588">
        <v>18679</v>
      </c>
      <c r="BD588" t="s">
        <v>74</v>
      </c>
      <c r="BE588" t="s">
        <v>8077</v>
      </c>
      <c r="BF588" t="str">
        <f>HYPERLINK("http://dx.doi.org/10.1029/98JC01682","http://dx.doi.org/10.1029/98JC01682")</f>
        <v>http://dx.doi.org/10.1029/98JC01682</v>
      </c>
      <c r="BG588" t="s">
        <v>74</v>
      </c>
      <c r="BH588" t="s">
        <v>74</v>
      </c>
      <c r="BI588">
        <v>15</v>
      </c>
      <c r="BJ588" t="s">
        <v>451</v>
      </c>
      <c r="BK588" t="s">
        <v>95</v>
      </c>
      <c r="BL588" t="s">
        <v>451</v>
      </c>
      <c r="BM588" t="s">
        <v>8068</v>
      </c>
      <c r="BN588" t="s">
        <v>74</v>
      </c>
      <c r="BO588" t="s">
        <v>1089</v>
      </c>
      <c r="BP588" t="s">
        <v>74</v>
      </c>
      <c r="BQ588" t="s">
        <v>74</v>
      </c>
      <c r="BR588" t="s">
        <v>98</v>
      </c>
      <c r="BS588" t="s">
        <v>8078</v>
      </c>
      <c r="BT588" t="str">
        <f>HYPERLINK("https%3A%2F%2Fwww.webofscience.com%2Fwos%2Fwoscc%2Ffull-record%2FWOS:000075363700020","View Full Record in Web of Science")</f>
        <v>View Full Record in Web of Science</v>
      </c>
    </row>
    <row r="589" spans="1:72" x14ac:dyDescent="0.15">
      <c r="A589" t="s">
        <v>72</v>
      </c>
      <c r="B589" t="s">
        <v>8079</v>
      </c>
      <c r="C589" t="s">
        <v>74</v>
      </c>
      <c r="D589" t="s">
        <v>74</v>
      </c>
      <c r="E589" t="s">
        <v>74</v>
      </c>
      <c r="F589" t="s">
        <v>8079</v>
      </c>
      <c r="G589" t="s">
        <v>74</v>
      </c>
      <c r="H589" t="s">
        <v>74</v>
      </c>
      <c r="I589" t="s">
        <v>8080</v>
      </c>
      <c r="J589" t="s">
        <v>6726</v>
      </c>
      <c r="K589" t="s">
        <v>74</v>
      </c>
      <c r="L589" t="s">
        <v>74</v>
      </c>
      <c r="M589" t="s">
        <v>77</v>
      </c>
      <c r="N589" t="s">
        <v>103</v>
      </c>
      <c r="O589" t="s">
        <v>74</v>
      </c>
      <c r="P589" t="s">
        <v>74</v>
      </c>
      <c r="Q589" t="s">
        <v>74</v>
      </c>
      <c r="R589" t="s">
        <v>74</v>
      </c>
      <c r="S589" t="s">
        <v>74</v>
      </c>
      <c r="T589" t="s">
        <v>74</v>
      </c>
      <c r="U589" t="s">
        <v>8081</v>
      </c>
      <c r="V589" t="s">
        <v>8082</v>
      </c>
      <c r="W589" t="s">
        <v>8083</v>
      </c>
      <c r="X589" t="s">
        <v>8084</v>
      </c>
      <c r="Y589" t="s">
        <v>8085</v>
      </c>
      <c r="Z589" t="s">
        <v>74</v>
      </c>
      <c r="AA589" t="s">
        <v>74</v>
      </c>
      <c r="AB589" t="s">
        <v>8086</v>
      </c>
      <c r="AC589" t="s">
        <v>74</v>
      </c>
      <c r="AD589" t="s">
        <v>74</v>
      </c>
      <c r="AE589" t="s">
        <v>74</v>
      </c>
      <c r="AF589" t="s">
        <v>74</v>
      </c>
      <c r="AG589">
        <v>43</v>
      </c>
      <c r="AH589">
        <v>61</v>
      </c>
      <c r="AI589">
        <v>66</v>
      </c>
      <c r="AJ589">
        <v>0</v>
      </c>
      <c r="AK589">
        <v>6</v>
      </c>
      <c r="AL589" t="s">
        <v>6731</v>
      </c>
      <c r="AM589" t="s">
        <v>1121</v>
      </c>
      <c r="AN589" t="s">
        <v>6732</v>
      </c>
      <c r="AO589" t="s">
        <v>6733</v>
      </c>
      <c r="AP589" t="s">
        <v>74</v>
      </c>
      <c r="AQ589" t="s">
        <v>74</v>
      </c>
      <c r="AR589" t="s">
        <v>6726</v>
      </c>
      <c r="AS589" t="s">
        <v>6734</v>
      </c>
      <c r="AT589" t="s">
        <v>8087</v>
      </c>
      <c r="AU589">
        <v>1998</v>
      </c>
      <c r="AV589">
        <v>394</v>
      </c>
      <c r="AW589">
        <v>6694</v>
      </c>
      <c r="AX589" t="s">
        <v>74</v>
      </c>
      <c r="AY589" t="s">
        <v>74</v>
      </c>
      <c r="AZ589" t="s">
        <v>74</v>
      </c>
      <c r="BA589" t="s">
        <v>74</v>
      </c>
      <c r="BB589">
        <v>637</v>
      </c>
      <c r="BC589">
        <v>644</v>
      </c>
      <c r="BD589" t="s">
        <v>74</v>
      </c>
      <c r="BE589" t="s">
        <v>8088</v>
      </c>
      <c r="BF589" t="str">
        <f>HYPERLINK("http://dx.doi.org/10.1038/29226","http://dx.doi.org/10.1038/29226")</f>
        <v>http://dx.doi.org/10.1038/29226</v>
      </c>
      <c r="BG589" t="s">
        <v>74</v>
      </c>
      <c r="BH589" t="s">
        <v>74</v>
      </c>
      <c r="BI589">
        <v>8</v>
      </c>
      <c r="BJ589" t="s">
        <v>3377</v>
      </c>
      <c r="BK589" t="s">
        <v>95</v>
      </c>
      <c r="BL589" t="s">
        <v>3378</v>
      </c>
      <c r="BM589" t="s">
        <v>8089</v>
      </c>
      <c r="BN589" t="s">
        <v>74</v>
      </c>
      <c r="BO589" t="s">
        <v>74</v>
      </c>
      <c r="BP589" t="s">
        <v>74</v>
      </c>
      <c r="BQ589" t="s">
        <v>74</v>
      </c>
      <c r="BR589" t="s">
        <v>98</v>
      </c>
      <c r="BS589" t="s">
        <v>8090</v>
      </c>
      <c r="BT589" t="str">
        <f>HYPERLINK("https%3A%2F%2Fwww.webofscience.com%2Fwos%2Fwoscc%2Ffull-record%2FWOS:000075384200032","View Full Record in Web of Science")</f>
        <v>View Full Record in Web of Science</v>
      </c>
    </row>
    <row r="590" spans="1:72" x14ac:dyDescent="0.15">
      <c r="A590" t="s">
        <v>72</v>
      </c>
      <c r="B590" t="s">
        <v>8091</v>
      </c>
      <c r="C590" t="s">
        <v>74</v>
      </c>
      <c r="D590" t="s">
        <v>74</v>
      </c>
      <c r="E590" t="s">
        <v>74</v>
      </c>
      <c r="F590" t="s">
        <v>8091</v>
      </c>
      <c r="G590" t="s">
        <v>74</v>
      </c>
      <c r="H590" t="s">
        <v>74</v>
      </c>
      <c r="I590" t="s">
        <v>8092</v>
      </c>
      <c r="J590" t="s">
        <v>3936</v>
      </c>
      <c r="K590" t="s">
        <v>74</v>
      </c>
      <c r="L590" t="s">
        <v>74</v>
      </c>
      <c r="M590" t="s">
        <v>77</v>
      </c>
      <c r="N590" t="s">
        <v>103</v>
      </c>
      <c r="O590" t="s">
        <v>74</v>
      </c>
      <c r="P590" t="s">
        <v>74</v>
      </c>
      <c r="Q590" t="s">
        <v>74</v>
      </c>
      <c r="R590" t="s">
        <v>74</v>
      </c>
      <c r="S590" t="s">
        <v>74</v>
      </c>
      <c r="T590" t="s">
        <v>8093</v>
      </c>
      <c r="U590" t="s">
        <v>8094</v>
      </c>
      <c r="V590" t="s">
        <v>8095</v>
      </c>
      <c r="W590" t="s">
        <v>8096</v>
      </c>
      <c r="X590" t="s">
        <v>8097</v>
      </c>
      <c r="Y590" t="s">
        <v>8098</v>
      </c>
      <c r="Z590" t="s">
        <v>74</v>
      </c>
      <c r="AA590" t="s">
        <v>8099</v>
      </c>
      <c r="AB590" t="s">
        <v>8100</v>
      </c>
      <c r="AC590" t="s">
        <v>74</v>
      </c>
      <c r="AD590" t="s">
        <v>74</v>
      </c>
      <c r="AE590" t="s">
        <v>74</v>
      </c>
      <c r="AF590" t="s">
        <v>74</v>
      </c>
      <c r="AG590">
        <v>27</v>
      </c>
      <c r="AH590">
        <v>28</v>
      </c>
      <c r="AI590">
        <v>29</v>
      </c>
      <c r="AJ590">
        <v>0</v>
      </c>
      <c r="AK590">
        <v>3</v>
      </c>
      <c r="AL590" t="s">
        <v>887</v>
      </c>
      <c r="AM590" t="s">
        <v>278</v>
      </c>
      <c r="AN590" t="s">
        <v>888</v>
      </c>
      <c r="AO590" t="s">
        <v>3943</v>
      </c>
      <c r="AP590" t="s">
        <v>74</v>
      </c>
      <c r="AQ590" t="s">
        <v>74</v>
      </c>
      <c r="AR590" t="s">
        <v>3944</v>
      </c>
      <c r="AS590" t="s">
        <v>3945</v>
      </c>
      <c r="AT590" t="s">
        <v>8101</v>
      </c>
      <c r="AU590">
        <v>1998</v>
      </c>
      <c r="AV590">
        <v>16</v>
      </c>
      <c r="AW590">
        <v>8</v>
      </c>
      <c r="AX590" t="s">
        <v>74</v>
      </c>
      <c r="AY590" t="s">
        <v>74</v>
      </c>
      <c r="AZ590" t="s">
        <v>74</v>
      </c>
      <c r="BA590" t="s">
        <v>74</v>
      </c>
      <c r="BB590">
        <v>1024</v>
      </c>
      <c r="BC590">
        <v>1038</v>
      </c>
      <c r="BD590" t="s">
        <v>74</v>
      </c>
      <c r="BE590" t="s">
        <v>8102</v>
      </c>
      <c r="BF590" t="str">
        <f>HYPERLINK("http://dx.doi.org/10.1007/s00585-998-1024-7","http://dx.doi.org/10.1007/s00585-998-1024-7")</f>
        <v>http://dx.doi.org/10.1007/s00585-998-1024-7</v>
      </c>
      <c r="BG590" t="s">
        <v>74</v>
      </c>
      <c r="BH590" t="s">
        <v>74</v>
      </c>
      <c r="BI590">
        <v>15</v>
      </c>
      <c r="BJ590" t="s">
        <v>3948</v>
      </c>
      <c r="BK590" t="s">
        <v>95</v>
      </c>
      <c r="BL590" t="s">
        <v>3949</v>
      </c>
      <c r="BM590" t="s">
        <v>8103</v>
      </c>
      <c r="BN590" t="s">
        <v>74</v>
      </c>
      <c r="BO590" t="s">
        <v>3951</v>
      </c>
      <c r="BP590" t="s">
        <v>74</v>
      </c>
      <c r="BQ590" t="s">
        <v>74</v>
      </c>
      <c r="BR590" t="s">
        <v>98</v>
      </c>
      <c r="BS590" t="s">
        <v>8104</v>
      </c>
      <c r="BT590" t="str">
        <f>HYPERLINK("https%3A%2F%2Fwww.webofscience.com%2Fwos%2Fwoscc%2Ffull-record%2FWOS:000075783900014","View Full Record in Web of Science")</f>
        <v>View Full Record in Web of Science</v>
      </c>
    </row>
    <row r="591" spans="1:72" x14ac:dyDescent="0.15">
      <c r="A591" t="s">
        <v>72</v>
      </c>
      <c r="B591" t="s">
        <v>8105</v>
      </c>
      <c r="C591" t="s">
        <v>74</v>
      </c>
      <c r="D591" t="s">
        <v>74</v>
      </c>
      <c r="E591" t="s">
        <v>74</v>
      </c>
      <c r="F591" t="s">
        <v>8105</v>
      </c>
      <c r="G591" t="s">
        <v>74</v>
      </c>
      <c r="H591" t="s">
        <v>74</v>
      </c>
      <c r="I591" t="s">
        <v>8106</v>
      </c>
      <c r="J591" t="s">
        <v>5050</v>
      </c>
      <c r="K591" t="s">
        <v>74</v>
      </c>
      <c r="L591" t="s">
        <v>74</v>
      </c>
      <c r="M591" t="s">
        <v>77</v>
      </c>
      <c r="N591" t="s">
        <v>103</v>
      </c>
      <c r="O591" t="s">
        <v>74</v>
      </c>
      <c r="P591" t="s">
        <v>74</v>
      </c>
      <c r="Q591" t="s">
        <v>74</v>
      </c>
      <c r="R591" t="s">
        <v>74</v>
      </c>
      <c r="S591" t="s">
        <v>74</v>
      </c>
      <c r="T591" t="s">
        <v>8107</v>
      </c>
      <c r="U591" t="s">
        <v>74</v>
      </c>
      <c r="V591" t="s">
        <v>8108</v>
      </c>
      <c r="W591" t="s">
        <v>2491</v>
      </c>
      <c r="X591" t="s">
        <v>2492</v>
      </c>
      <c r="Y591" t="s">
        <v>8109</v>
      </c>
      <c r="Z591" t="s">
        <v>74</v>
      </c>
      <c r="AA591" t="s">
        <v>74</v>
      </c>
      <c r="AB591" t="s">
        <v>74</v>
      </c>
      <c r="AC591" t="s">
        <v>74</v>
      </c>
      <c r="AD591" t="s">
        <v>74</v>
      </c>
      <c r="AE591" t="s">
        <v>74</v>
      </c>
      <c r="AF591" t="s">
        <v>74</v>
      </c>
      <c r="AG591">
        <v>14</v>
      </c>
      <c r="AH591">
        <v>1</v>
      </c>
      <c r="AI591">
        <v>1</v>
      </c>
      <c r="AJ591">
        <v>0</v>
      </c>
      <c r="AK591">
        <v>0</v>
      </c>
      <c r="AL591" t="s">
        <v>5057</v>
      </c>
      <c r="AM591" t="s">
        <v>5058</v>
      </c>
      <c r="AN591" t="s">
        <v>5059</v>
      </c>
      <c r="AO591" t="s">
        <v>5060</v>
      </c>
      <c r="AP591" t="s">
        <v>74</v>
      </c>
      <c r="AQ591" t="s">
        <v>74</v>
      </c>
      <c r="AR591" t="s">
        <v>5061</v>
      </c>
      <c r="AS591" t="s">
        <v>5062</v>
      </c>
      <c r="AT591" t="s">
        <v>8101</v>
      </c>
      <c r="AU591">
        <v>1998</v>
      </c>
      <c r="AV591">
        <v>41</v>
      </c>
      <c r="AW591">
        <v>3</v>
      </c>
      <c r="AX591" t="s">
        <v>74</v>
      </c>
      <c r="AY591" t="s">
        <v>74</v>
      </c>
      <c r="AZ591" t="s">
        <v>74</v>
      </c>
      <c r="BA591" t="s">
        <v>74</v>
      </c>
      <c r="BB591">
        <v>271</v>
      </c>
      <c r="BC591">
        <v>287</v>
      </c>
      <c r="BD591" t="s">
        <v>74</v>
      </c>
      <c r="BE591" t="s">
        <v>74</v>
      </c>
      <c r="BF591" t="s">
        <v>74</v>
      </c>
      <c r="BG591" t="s">
        <v>74</v>
      </c>
      <c r="BH591" t="s">
        <v>74</v>
      </c>
      <c r="BI591">
        <v>17</v>
      </c>
      <c r="BJ591" t="s">
        <v>303</v>
      </c>
      <c r="BK591" t="s">
        <v>95</v>
      </c>
      <c r="BL591" t="s">
        <v>303</v>
      </c>
      <c r="BM591" t="s">
        <v>8110</v>
      </c>
      <c r="BN591" t="s">
        <v>74</v>
      </c>
      <c r="BO591" t="s">
        <v>74</v>
      </c>
      <c r="BP591" t="s">
        <v>74</v>
      </c>
      <c r="BQ591" t="s">
        <v>74</v>
      </c>
      <c r="BR591" t="s">
        <v>98</v>
      </c>
      <c r="BS591" t="s">
        <v>8111</v>
      </c>
      <c r="BT591" t="str">
        <f>HYPERLINK("https%3A%2F%2Fwww.webofscience.com%2Fwos%2Fwoscc%2Ffull-record%2FWOS:000079055300002","View Full Record in Web of Science")</f>
        <v>View Full Record in Web of Science</v>
      </c>
    </row>
    <row r="592" spans="1:72" x14ac:dyDescent="0.15">
      <c r="A592" t="s">
        <v>72</v>
      </c>
      <c r="B592" t="s">
        <v>8112</v>
      </c>
      <c r="C592" t="s">
        <v>74</v>
      </c>
      <c r="D592" t="s">
        <v>74</v>
      </c>
      <c r="E592" t="s">
        <v>74</v>
      </c>
      <c r="F592" t="s">
        <v>8112</v>
      </c>
      <c r="G592" t="s">
        <v>74</v>
      </c>
      <c r="H592" t="s">
        <v>74</v>
      </c>
      <c r="I592" t="s">
        <v>8113</v>
      </c>
      <c r="J592" t="s">
        <v>6188</v>
      </c>
      <c r="K592" t="s">
        <v>74</v>
      </c>
      <c r="L592" t="s">
        <v>74</v>
      </c>
      <c r="M592" t="s">
        <v>77</v>
      </c>
      <c r="N592" t="s">
        <v>103</v>
      </c>
      <c r="O592" t="s">
        <v>74</v>
      </c>
      <c r="P592" t="s">
        <v>74</v>
      </c>
      <c r="Q592" t="s">
        <v>74</v>
      </c>
      <c r="R592" t="s">
        <v>74</v>
      </c>
      <c r="S592" t="s">
        <v>74</v>
      </c>
      <c r="T592" t="s">
        <v>74</v>
      </c>
      <c r="U592" t="s">
        <v>8114</v>
      </c>
      <c r="V592" t="s">
        <v>8115</v>
      </c>
      <c r="W592" t="s">
        <v>8116</v>
      </c>
      <c r="X592" t="s">
        <v>7319</v>
      </c>
      <c r="Y592" t="s">
        <v>8117</v>
      </c>
      <c r="Z592" t="s">
        <v>8118</v>
      </c>
      <c r="AA592" t="s">
        <v>8119</v>
      </c>
      <c r="AB592" t="s">
        <v>8120</v>
      </c>
      <c r="AC592" t="s">
        <v>74</v>
      </c>
      <c r="AD592" t="s">
        <v>74</v>
      </c>
      <c r="AE592" t="s">
        <v>74</v>
      </c>
      <c r="AF592" t="s">
        <v>74</v>
      </c>
      <c r="AG592">
        <v>35</v>
      </c>
      <c r="AH592">
        <v>224</v>
      </c>
      <c r="AI592">
        <v>286</v>
      </c>
      <c r="AJ592">
        <v>1</v>
      </c>
      <c r="AK592">
        <v>73</v>
      </c>
      <c r="AL592" t="s">
        <v>6197</v>
      </c>
      <c r="AM592" t="s">
        <v>967</v>
      </c>
      <c r="AN592" t="s">
        <v>6198</v>
      </c>
      <c r="AO592" t="s">
        <v>6199</v>
      </c>
      <c r="AP592" t="s">
        <v>6200</v>
      </c>
      <c r="AQ592" t="s">
        <v>74</v>
      </c>
      <c r="AR592" t="s">
        <v>6201</v>
      </c>
      <c r="AS592" t="s">
        <v>6202</v>
      </c>
      <c r="AT592" t="s">
        <v>8101</v>
      </c>
      <c r="AU592">
        <v>1998</v>
      </c>
      <c r="AV592">
        <v>64</v>
      </c>
      <c r="AW592">
        <v>8</v>
      </c>
      <c r="AX592" t="s">
        <v>74</v>
      </c>
      <c r="AY592" t="s">
        <v>74</v>
      </c>
      <c r="AZ592" t="s">
        <v>74</v>
      </c>
      <c r="BA592" t="s">
        <v>74</v>
      </c>
      <c r="BB592">
        <v>2806</v>
      </c>
      <c r="BC592">
        <v>2813</v>
      </c>
      <c r="BD592" t="s">
        <v>74</v>
      </c>
      <c r="BE592" t="s">
        <v>74</v>
      </c>
      <c r="BF592" t="s">
        <v>74</v>
      </c>
      <c r="BG592" t="s">
        <v>74</v>
      </c>
      <c r="BH592" t="s">
        <v>74</v>
      </c>
      <c r="BI592">
        <v>8</v>
      </c>
      <c r="BJ592" t="s">
        <v>1722</v>
      </c>
      <c r="BK592" t="s">
        <v>95</v>
      </c>
      <c r="BL592" t="s">
        <v>1722</v>
      </c>
      <c r="BM592" t="s">
        <v>8121</v>
      </c>
      <c r="BN592">
        <v>9687434</v>
      </c>
      <c r="BO592" t="s">
        <v>74</v>
      </c>
      <c r="BP592" t="s">
        <v>74</v>
      </c>
      <c r="BQ592" t="s">
        <v>74</v>
      </c>
      <c r="BR592" t="s">
        <v>98</v>
      </c>
      <c r="BS592" t="s">
        <v>8122</v>
      </c>
      <c r="BT592" t="str">
        <f>HYPERLINK("https%3A%2F%2Fwww.webofscience.com%2Fwos%2Fwoscc%2Ffull-record%2FWOS:000075127200007","View Full Record in Web of Science")</f>
        <v>View Full Record in Web of Science</v>
      </c>
    </row>
    <row r="593" spans="1:72" x14ac:dyDescent="0.15">
      <c r="A593" t="s">
        <v>72</v>
      </c>
      <c r="B593" t="s">
        <v>8123</v>
      </c>
      <c r="C593" t="s">
        <v>74</v>
      </c>
      <c r="D593" t="s">
        <v>74</v>
      </c>
      <c r="E593" t="s">
        <v>74</v>
      </c>
      <c r="F593" t="s">
        <v>8123</v>
      </c>
      <c r="G593" t="s">
        <v>74</v>
      </c>
      <c r="H593" t="s">
        <v>74</v>
      </c>
      <c r="I593" t="s">
        <v>8124</v>
      </c>
      <c r="J593" t="s">
        <v>8125</v>
      </c>
      <c r="K593" t="s">
        <v>74</v>
      </c>
      <c r="L593" t="s">
        <v>74</v>
      </c>
      <c r="M593" t="s">
        <v>77</v>
      </c>
      <c r="N593" t="s">
        <v>103</v>
      </c>
      <c r="O593" t="s">
        <v>74</v>
      </c>
      <c r="P593" t="s">
        <v>74</v>
      </c>
      <c r="Q593" t="s">
        <v>74</v>
      </c>
      <c r="R593" t="s">
        <v>74</v>
      </c>
      <c r="S593" t="s">
        <v>74</v>
      </c>
      <c r="T593" t="s">
        <v>74</v>
      </c>
      <c r="U593" t="s">
        <v>8126</v>
      </c>
      <c r="V593" t="s">
        <v>8127</v>
      </c>
      <c r="W593" t="s">
        <v>8128</v>
      </c>
      <c r="X593" t="s">
        <v>8129</v>
      </c>
      <c r="Y593" t="s">
        <v>8130</v>
      </c>
      <c r="Z593" t="s">
        <v>8131</v>
      </c>
      <c r="AA593" t="s">
        <v>74</v>
      </c>
      <c r="AB593" t="s">
        <v>7901</v>
      </c>
      <c r="AC593" t="s">
        <v>74</v>
      </c>
      <c r="AD593" t="s">
        <v>74</v>
      </c>
      <c r="AE593" t="s">
        <v>74</v>
      </c>
      <c r="AF593" t="s">
        <v>74</v>
      </c>
      <c r="AG593">
        <v>66</v>
      </c>
      <c r="AH593">
        <v>106</v>
      </c>
      <c r="AI593">
        <v>123</v>
      </c>
      <c r="AJ593">
        <v>1</v>
      </c>
      <c r="AK593">
        <v>81</v>
      </c>
      <c r="AL593" t="s">
        <v>8132</v>
      </c>
      <c r="AM593" t="s">
        <v>1021</v>
      </c>
      <c r="AN593" t="s">
        <v>8133</v>
      </c>
      <c r="AO593" t="s">
        <v>8134</v>
      </c>
      <c r="AP593" t="s">
        <v>74</v>
      </c>
      <c r="AQ593" t="s">
        <v>74</v>
      </c>
      <c r="AR593" t="s">
        <v>8135</v>
      </c>
      <c r="AS593" t="s">
        <v>8136</v>
      </c>
      <c r="AT593" t="s">
        <v>8101</v>
      </c>
      <c r="AU593">
        <v>1998</v>
      </c>
      <c r="AV593">
        <v>30</v>
      </c>
      <c r="AW593">
        <v>3</v>
      </c>
      <c r="AX593" t="s">
        <v>74</v>
      </c>
      <c r="AY593" t="s">
        <v>74</v>
      </c>
      <c r="AZ593" t="s">
        <v>74</v>
      </c>
      <c r="BA593" t="s">
        <v>74</v>
      </c>
      <c r="BB593">
        <v>306</v>
      </c>
      <c r="BC593">
        <v>313</v>
      </c>
      <c r="BD593" t="s">
        <v>74</v>
      </c>
      <c r="BE593" t="s">
        <v>8137</v>
      </c>
      <c r="BF593" t="str">
        <f>HYPERLINK("http://dx.doi.org/10.2307/1551978","http://dx.doi.org/10.2307/1551978")</f>
        <v>http://dx.doi.org/10.2307/1551978</v>
      </c>
      <c r="BG593" t="s">
        <v>74</v>
      </c>
      <c r="BH593" t="s">
        <v>74</v>
      </c>
      <c r="BI593">
        <v>8</v>
      </c>
      <c r="BJ593" t="s">
        <v>8138</v>
      </c>
      <c r="BK593" t="s">
        <v>95</v>
      </c>
      <c r="BL593" t="s">
        <v>8139</v>
      </c>
      <c r="BM593" t="s">
        <v>8140</v>
      </c>
      <c r="BN593" t="s">
        <v>74</v>
      </c>
      <c r="BO593" t="s">
        <v>74</v>
      </c>
      <c r="BP593" t="s">
        <v>74</v>
      </c>
      <c r="BQ593" t="s">
        <v>74</v>
      </c>
      <c r="BR593" t="s">
        <v>98</v>
      </c>
      <c r="BS593" t="s">
        <v>8141</v>
      </c>
      <c r="BT593" t="str">
        <f>HYPERLINK("https%3A%2F%2Fwww.webofscience.com%2Fwos%2Fwoscc%2Ffull-record%2FWOS:000075994500011","View Full Record in Web of Science")</f>
        <v>View Full Record in Web of Science</v>
      </c>
    </row>
    <row r="594" spans="1:72" x14ac:dyDescent="0.15">
      <c r="A594" t="s">
        <v>72</v>
      </c>
      <c r="B594" t="s">
        <v>8142</v>
      </c>
      <c r="C594" t="s">
        <v>74</v>
      </c>
      <c r="D594" t="s">
        <v>74</v>
      </c>
      <c r="E594" t="s">
        <v>74</v>
      </c>
      <c r="F594" t="s">
        <v>8142</v>
      </c>
      <c r="G594" t="s">
        <v>74</v>
      </c>
      <c r="H594" t="s">
        <v>74</v>
      </c>
      <c r="I594" t="s">
        <v>8143</v>
      </c>
      <c r="J594" t="s">
        <v>8144</v>
      </c>
      <c r="K594" t="s">
        <v>74</v>
      </c>
      <c r="L594" t="s">
        <v>74</v>
      </c>
      <c r="M594" t="s">
        <v>77</v>
      </c>
      <c r="N594" t="s">
        <v>103</v>
      </c>
      <c r="O594" t="s">
        <v>74</v>
      </c>
      <c r="P594" t="s">
        <v>74</v>
      </c>
      <c r="Q594" t="s">
        <v>74</v>
      </c>
      <c r="R594" t="s">
        <v>74</v>
      </c>
      <c r="S594" t="s">
        <v>74</v>
      </c>
      <c r="T594" t="s">
        <v>8145</v>
      </c>
      <c r="U594" t="s">
        <v>8146</v>
      </c>
      <c r="V594" t="s">
        <v>8147</v>
      </c>
      <c r="W594" t="s">
        <v>8148</v>
      </c>
      <c r="X594" t="s">
        <v>8149</v>
      </c>
      <c r="Y594" t="s">
        <v>8150</v>
      </c>
      <c r="Z594" t="s">
        <v>74</v>
      </c>
      <c r="AA594" t="s">
        <v>74</v>
      </c>
      <c r="AB594" t="s">
        <v>74</v>
      </c>
      <c r="AC594" t="s">
        <v>74</v>
      </c>
      <c r="AD594" t="s">
        <v>74</v>
      </c>
      <c r="AE594" t="s">
        <v>74</v>
      </c>
      <c r="AF594" t="s">
        <v>74</v>
      </c>
      <c r="AG594">
        <v>41</v>
      </c>
      <c r="AH594">
        <v>20</v>
      </c>
      <c r="AI594">
        <v>20</v>
      </c>
      <c r="AJ594">
        <v>0</v>
      </c>
      <c r="AK594">
        <v>2</v>
      </c>
      <c r="AL594" t="s">
        <v>7581</v>
      </c>
      <c r="AM594" t="s">
        <v>7582</v>
      </c>
      <c r="AN594" t="s">
        <v>7583</v>
      </c>
      <c r="AO594" t="s">
        <v>8151</v>
      </c>
      <c r="AP594" t="s">
        <v>74</v>
      </c>
      <c r="AQ594" t="s">
        <v>74</v>
      </c>
      <c r="AR594" t="s">
        <v>8152</v>
      </c>
      <c r="AS594" t="s">
        <v>8153</v>
      </c>
      <c r="AT594" t="s">
        <v>8101</v>
      </c>
      <c r="AU594">
        <v>1998</v>
      </c>
      <c r="AV594">
        <v>45</v>
      </c>
      <c r="AW594">
        <v>4</v>
      </c>
      <c r="AX594" t="s">
        <v>74</v>
      </c>
      <c r="AY594" t="s">
        <v>74</v>
      </c>
      <c r="AZ594" t="s">
        <v>74</v>
      </c>
      <c r="BA594" t="s">
        <v>74</v>
      </c>
      <c r="BB594">
        <v>623</v>
      </c>
      <c r="BC594">
        <v>632</v>
      </c>
      <c r="BD594" t="s">
        <v>74</v>
      </c>
      <c r="BE594" t="s">
        <v>8154</v>
      </c>
      <c r="BF594" t="str">
        <f>HYPERLINK("http://dx.doi.org/10.1080/08120099808728417","http://dx.doi.org/10.1080/08120099808728417")</f>
        <v>http://dx.doi.org/10.1080/08120099808728417</v>
      </c>
      <c r="BG594" t="s">
        <v>74</v>
      </c>
      <c r="BH594" t="s">
        <v>74</v>
      </c>
      <c r="BI594">
        <v>10</v>
      </c>
      <c r="BJ594" t="s">
        <v>192</v>
      </c>
      <c r="BK594" t="s">
        <v>95</v>
      </c>
      <c r="BL594" t="s">
        <v>193</v>
      </c>
      <c r="BM594" t="s">
        <v>8155</v>
      </c>
      <c r="BN594" t="s">
        <v>74</v>
      </c>
      <c r="BO594" t="s">
        <v>74</v>
      </c>
      <c r="BP594" t="s">
        <v>74</v>
      </c>
      <c r="BQ594" t="s">
        <v>74</v>
      </c>
      <c r="BR594" t="s">
        <v>98</v>
      </c>
      <c r="BS594" t="s">
        <v>8156</v>
      </c>
      <c r="BT594" t="str">
        <f>HYPERLINK("https%3A%2F%2Fwww.webofscience.com%2Fwos%2Fwoscc%2Ffull-record%2FWOS:000075173200012","View Full Record in Web of Science")</f>
        <v>View Full Record in Web of Science</v>
      </c>
    </row>
    <row r="595" spans="1:72" x14ac:dyDescent="0.15">
      <c r="A595" t="s">
        <v>72</v>
      </c>
      <c r="B595" t="s">
        <v>8157</v>
      </c>
      <c r="C595" t="s">
        <v>74</v>
      </c>
      <c r="D595" t="s">
        <v>74</v>
      </c>
      <c r="E595" t="s">
        <v>74</v>
      </c>
      <c r="F595" t="s">
        <v>8157</v>
      </c>
      <c r="G595" t="s">
        <v>74</v>
      </c>
      <c r="H595" t="s">
        <v>74</v>
      </c>
      <c r="I595" t="s">
        <v>8158</v>
      </c>
      <c r="J595" t="s">
        <v>8144</v>
      </c>
      <c r="K595" t="s">
        <v>74</v>
      </c>
      <c r="L595" t="s">
        <v>74</v>
      </c>
      <c r="M595" t="s">
        <v>77</v>
      </c>
      <c r="N595" t="s">
        <v>103</v>
      </c>
      <c r="O595" t="s">
        <v>74</v>
      </c>
      <c r="P595" t="s">
        <v>74</v>
      </c>
      <c r="Q595" t="s">
        <v>74</v>
      </c>
      <c r="R595" t="s">
        <v>74</v>
      </c>
      <c r="S595" t="s">
        <v>74</v>
      </c>
      <c r="T595" t="s">
        <v>8159</v>
      </c>
      <c r="U595" t="s">
        <v>8160</v>
      </c>
      <c r="V595" t="s">
        <v>8161</v>
      </c>
      <c r="W595" t="s">
        <v>8162</v>
      </c>
      <c r="X595" t="s">
        <v>6427</v>
      </c>
      <c r="Y595" t="s">
        <v>8163</v>
      </c>
      <c r="Z595" t="s">
        <v>74</v>
      </c>
      <c r="AA595" t="s">
        <v>4495</v>
      </c>
      <c r="AB595" t="s">
        <v>74</v>
      </c>
      <c r="AC595" t="s">
        <v>74</v>
      </c>
      <c r="AD595" t="s">
        <v>74</v>
      </c>
      <c r="AE595" t="s">
        <v>74</v>
      </c>
      <c r="AF595" t="s">
        <v>74</v>
      </c>
      <c r="AG595">
        <v>40</v>
      </c>
      <c r="AH595">
        <v>5</v>
      </c>
      <c r="AI595">
        <v>5</v>
      </c>
      <c r="AJ595">
        <v>0</v>
      </c>
      <c r="AK595">
        <v>2</v>
      </c>
      <c r="AL595" t="s">
        <v>7581</v>
      </c>
      <c r="AM595" t="s">
        <v>7582</v>
      </c>
      <c r="AN595" t="s">
        <v>7583</v>
      </c>
      <c r="AO595" t="s">
        <v>8151</v>
      </c>
      <c r="AP595" t="s">
        <v>74</v>
      </c>
      <c r="AQ595" t="s">
        <v>74</v>
      </c>
      <c r="AR595" t="s">
        <v>8152</v>
      </c>
      <c r="AS595" t="s">
        <v>8153</v>
      </c>
      <c r="AT595" t="s">
        <v>8101</v>
      </c>
      <c r="AU595">
        <v>1998</v>
      </c>
      <c r="AV595">
        <v>45</v>
      </c>
      <c r="AW595">
        <v>4</v>
      </c>
      <c r="AX595" t="s">
        <v>74</v>
      </c>
      <c r="AY595" t="s">
        <v>74</v>
      </c>
      <c r="AZ595" t="s">
        <v>74</v>
      </c>
      <c r="BA595" t="s">
        <v>74</v>
      </c>
      <c r="BB595">
        <v>645</v>
      </c>
      <c r="BC595">
        <v>652</v>
      </c>
      <c r="BD595" t="s">
        <v>74</v>
      </c>
      <c r="BE595" t="s">
        <v>8164</v>
      </c>
      <c r="BF595" t="str">
        <f>HYPERLINK("http://dx.doi.org/10.1080/08120099808728419","http://dx.doi.org/10.1080/08120099808728419")</f>
        <v>http://dx.doi.org/10.1080/08120099808728419</v>
      </c>
      <c r="BG595" t="s">
        <v>74</v>
      </c>
      <c r="BH595" t="s">
        <v>74</v>
      </c>
      <c r="BI595">
        <v>8</v>
      </c>
      <c r="BJ595" t="s">
        <v>192</v>
      </c>
      <c r="BK595" t="s">
        <v>95</v>
      </c>
      <c r="BL595" t="s">
        <v>193</v>
      </c>
      <c r="BM595" t="s">
        <v>8155</v>
      </c>
      <c r="BN595" t="s">
        <v>74</v>
      </c>
      <c r="BO595" t="s">
        <v>74</v>
      </c>
      <c r="BP595" t="s">
        <v>74</v>
      </c>
      <c r="BQ595" t="s">
        <v>74</v>
      </c>
      <c r="BR595" t="s">
        <v>98</v>
      </c>
      <c r="BS595" t="s">
        <v>8165</v>
      </c>
      <c r="BT595" t="str">
        <f>HYPERLINK("https%3A%2F%2Fwww.webofscience.com%2Fwos%2Fwoscc%2Ffull-record%2FWOS:000075173200014","View Full Record in Web of Science")</f>
        <v>View Full Record in Web of Science</v>
      </c>
    </row>
    <row r="596" spans="1:72" x14ac:dyDescent="0.15">
      <c r="A596" t="s">
        <v>72</v>
      </c>
      <c r="B596" t="s">
        <v>7617</v>
      </c>
      <c r="C596" t="s">
        <v>74</v>
      </c>
      <c r="D596" t="s">
        <v>74</v>
      </c>
      <c r="E596" t="s">
        <v>74</v>
      </c>
      <c r="F596" t="s">
        <v>7617</v>
      </c>
      <c r="G596" t="s">
        <v>74</v>
      </c>
      <c r="H596" t="s">
        <v>74</v>
      </c>
      <c r="I596" t="s">
        <v>8166</v>
      </c>
      <c r="J596" t="s">
        <v>8167</v>
      </c>
      <c r="K596" t="s">
        <v>74</v>
      </c>
      <c r="L596" t="s">
        <v>74</v>
      </c>
      <c r="M596" t="s">
        <v>77</v>
      </c>
      <c r="N596" t="s">
        <v>103</v>
      </c>
      <c r="O596" t="s">
        <v>74</v>
      </c>
      <c r="P596" t="s">
        <v>74</v>
      </c>
      <c r="Q596" t="s">
        <v>74</v>
      </c>
      <c r="R596" t="s">
        <v>74</v>
      </c>
      <c r="S596" t="s">
        <v>74</v>
      </c>
      <c r="T596" t="s">
        <v>8168</v>
      </c>
      <c r="U596" t="s">
        <v>8169</v>
      </c>
      <c r="V596" t="s">
        <v>8170</v>
      </c>
      <c r="W596" t="s">
        <v>7622</v>
      </c>
      <c r="X596" t="s">
        <v>7623</v>
      </c>
      <c r="Y596" t="s">
        <v>7624</v>
      </c>
      <c r="Z596" t="s">
        <v>8171</v>
      </c>
      <c r="AA596" t="s">
        <v>74</v>
      </c>
      <c r="AB596" t="s">
        <v>74</v>
      </c>
      <c r="AC596" t="s">
        <v>74</v>
      </c>
      <c r="AD596" t="s">
        <v>74</v>
      </c>
      <c r="AE596" t="s">
        <v>74</v>
      </c>
      <c r="AF596" t="s">
        <v>74</v>
      </c>
      <c r="AG596">
        <v>27</v>
      </c>
      <c r="AH596">
        <v>36</v>
      </c>
      <c r="AI596">
        <v>38</v>
      </c>
      <c r="AJ596">
        <v>1</v>
      </c>
      <c r="AK596">
        <v>13</v>
      </c>
      <c r="AL596" t="s">
        <v>805</v>
      </c>
      <c r="AM596" t="s">
        <v>278</v>
      </c>
      <c r="AN596" t="s">
        <v>806</v>
      </c>
      <c r="AO596" t="s">
        <v>8172</v>
      </c>
      <c r="AP596" t="s">
        <v>8173</v>
      </c>
      <c r="AQ596" t="s">
        <v>74</v>
      </c>
      <c r="AR596" t="s">
        <v>8174</v>
      </c>
      <c r="AS596" t="s">
        <v>8175</v>
      </c>
      <c r="AT596" t="s">
        <v>8101</v>
      </c>
      <c r="AU596">
        <v>1998</v>
      </c>
      <c r="AV596">
        <v>43</v>
      </c>
      <c r="AW596">
        <v>2</v>
      </c>
      <c r="AX596" t="s">
        <v>74</v>
      </c>
      <c r="AY596" t="s">
        <v>74</v>
      </c>
      <c r="AZ596" t="s">
        <v>74</v>
      </c>
      <c r="BA596" t="s">
        <v>74</v>
      </c>
      <c r="BB596">
        <v>73</v>
      </c>
      <c r="BC596">
        <v>79</v>
      </c>
      <c r="BD596" t="s">
        <v>74</v>
      </c>
      <c r="BE596" t="s">
        <v>8176</v>
      </c>
      <c r="BF596" t="str">
        <f>HYPERLINK("http://dx.doi.org/10.1007/s002650050468","http://dx.doi.org/10.1007/s002650050468")</f>
        <v>http://dx.doi.org/10.1007/s002650050468</v>
      </c>
      <c r="BG596" t="s">
        <v>74</v>
      </c>
      <c r="BH596" t="s">
        <v>74</v>
      </c>
      <c r="BI596">
        <v>7</v>
      </c>
      <c r="BJ596" t="s">
        <v>8177</v>
      </c>
      <c r="BK596" t="s">
        <v>95</v>
      </c>
      <c r="BL596" t="s">
        <v>8178</v>
      </c>
      <c r="BM596" t="s">
        <v>8179</v>
      </c>
      <c r="BN596" t="s">
        <v>74</v>
      </c>
      <c r="BO596" t="s">
        <v>74</v>
      </c>
      <c r="BP596" t="s">
        <v>74</v>
      </c>
      <c r="BQ596" t="s">
        <v>74</v>
      </c>
      <c r="BR596" t="s">
        <v>98</v>
      </c>
      <c r="BS596" t="s">
        <v>8180</v>
      </c>
      <c r="BT596" t="str">
        <f>HYPERLINK("https%3A%2F%2Fwww.webofscience.com%2Fwos%2Fwoscc%2Ffull-record%2FWOS:000075302800001","View Full Record in Web of Science")</f>
        <v>View Full Record in Web of Science</v>
      </c>
    </row>
    <row r="597" spans="1:72" x14ac:dyDescent="0.15">
      <c r="A597" t="s">
        <v>72</v>
      </c>
      <c r="B597" t="s">
        <v>8181</v>
      </c>
      <c r="C597" t="s">
        <v>74</v>
      </c>
      <c r="D597" t="s">
        <v>74</v>
      </c>
      <c r="E597" t="s">
        <v>74</v>
      </c>
      <c r="F597" t="s">
        <v>8181</v>
      </c>
      <c r="G597" t="s">
        <v>74</v>
      </c>
      <c r="H597" t="s">
        <v>74</v>
      </c>
      <c r="I597" t="s">
        <v>8182</v>
      </c>
      <c r="J597" t="s">
        <v>8183</v>
      </c>
      <c r="K597" t="s">
        <v>74</v>
      </c>
      <c r="L597" t="s">
        <v>74</v>
      </c>
      <c r="M597" t="s">
        <v>77</v>
      </c>
      <c r="N597" t="s">
        <v>103</v>
      </c>
      <c r="O597" t="s">
        <v>74</v>
      </c>
      <c r="P597" t="s">
        <v>74</v>
      </c>
      <c r="Q597" t="s">
        <v>74</v>
      </c>
      <c r="R597" t="s">
        <v>74</v>
      </c>
      <c r="S597" t="s">
        <v>74</v>
      </c>
      <c r="T597" t="s">
        <v>74</v>
      </c>
      <c r="U597" t="s">
        <v>8184</v>
      </c>
      <c r="V597" t="s">
        <v>8185</v>
      </c>
      <c r="W597" t="s">
        <v>8186</v>
      </c>
      <c r="X597" t="s">
        <v>628</v>
      </c>
      <c r="Y597" t="s">
        <v>8187</v>
      </c>
      <c r="Z597" t="s">
        <v>8188</v>
      </c>
      <c r="AA597" t="s">
        <v>74</v>
      </c>
      <c r="AB597" t="s">
        <v>865</v>
      </c>
      <c r="AC597" t="s">
        <v>74</v>
      </c>
      <c r="AD597" t="s">
        <v>74</v>
      </c>
      <c r="AE597" t="s">
        <v>74</v>
      </c>
      <c r="AF597" t="s">
        <v>74</v>
      </c>
      <c r="AG597">
        <v>34</v>
      </c>
      <c r="AH597">
        <v>41</v>
      </c>
      <c r="AI597">
        <v>44</v>
      </c>
      <c r="AJ597">
        <v>0</v>
      </c>
      <c r="AK597">
        <v>32</v>
      </c>
      <c r="AL597" t="s">
        <v>5025</v>
      </c>
      <c r="AM597" t="s">
        <v>5026</v>
      </c>
      <c r="AN597" t="s">
        <v>6153</v>
      </c>
      <c r="AO597" t="s">
        <v>8189</v>
      </c>
      <c r="AP597" t="s">
        <v>8190</v>
      </c>
      <c r="AQ597" t="s">
        <v>74</v>
      </c>
      <c r="AR597" t="s">
        <v>8191</v>
      </c>
      <c r="AS597" t="s">
        <v>8192</v>
      </c>
      <c r="AT597" t="s">
        <v>8101</v>
      </c>
      <c r="AU597">
        <v>1998</v>
      </c>
      <c r="AV597">
        <v>195</v>
      </c>
      <c r="AW597">
        <v>1</v>
      </c>
      <c r="AX597" t="s">
        <v>74</v>
      </c>
      <c r="AY597" t="s">
        <v>74</v>
      </c>
      <c r="AZ597" t="s">
        <v>74</v>
      </c>
      <c r="BA597" t="s">
        <v>74</v>
      </c>
      <c r="BB597">
        <v>17</v>
      </c>
      <c r="BC597">
        <v>20</v>
      </c>
      <c r="BD597" t="s">
        <v>74</v>
      </c>
      <c r="BE597" t="s">
        <v>8193</v>
      </c>
      <c r="BF597" t="str">
        <f>HYPERLINK("http://dx.doi.org/10.2307/1542771","http://dx.doi.org/10.2307/1542771")</f>
        <v>http://dx.doi.org/10.2307/1542771</v>
      </c>
      <c r="BG597" t="s">
        <v>74</v>
      </c>
      <c r="BH597" t="s">
        <v>74</v>
      </c>
      <c r="BI597">
        <v>4</v>
      </c>
      <c r="BJ597" t="s">
        <v>8194</v>
      </c>
      <c r="BK597" t="s">
        <v>95</v>
      </c>
      <c r="BL597" t="s">
        <v>8195</v>
      </c>
      <c r="BM597" t="s">
        <v>8196</v>
      </c>
      <c r="BN597">
        <v>28570198</v>
      </c>
      <c r="BO597" t="s">
        <v>483</v>
      </c>
      <c r="BP597" t="s">
        <v>74</v>
      </c>
      <c r="BQ597" t="s">
        <v>74</v>
      </c>
      <c r="BR597" t="s">
        <v>98</v>
      </c>
      <c r="BS597" t="s">
        <v>8197</v>
      </c>
      <c r="BT597" t="str">
        <f>HYPERLINK("https%3A%2F%2Fwww.webofscience.com%2Fwos%2Fwoscc%2Ffull-record%2FWOS:000075976700004","View Full Record in Web of Science")</f>
        <v>View Full Record in Web of Science</v>
      </c>
    </row>
    <row r="598" spans="1:72" x14ac:dyDescent="0.15">
      <c r="A598" t="s">
        <v>72</v>
      </c>
      <c r="B598" t="s">
        <v>8198</v>
      </c>
      <c r="C598" t="s">
        <v>74</v>
      </c>
      <c r="D598" t="s">
        <v>74</v>
      </c>
      <c r="E598" t="s">
        <v>74</v>
      </c>
      <c r="F598" t="s">
        <v>8198</v>
      </c>
      <c r="G598" t="s">
        <v>74</v>
      </c>
      <c r="H598" t="s">
        <v>74</v>
      </c>
      <c r="I598" t="s">
        <v>8199</v>
      </c>
      <c r="J598" t="s">
        <v>8200</v>
      </c>
      <c r="K598" t="s">
        <v>74</v>
      </c>
      <c r="L598" t="s">
        <v>74</v>
      </c>
      <c r="M598" t="s">
        <v>77</v>
      </c>
      <c r="N598" t="s">
        <v>103</v>
      </c>
      <c r="O598" t="s">
        <v>74</v>
      </c>
      <c r="P598" t="s">
        <v>74</v>
      </c>
      <c r="Q598" t="s">
        <v>74</v>
      </c>
      <c r="R598" t="s">
        <v>74</v>
      </c>
      <c r="S598" t="s">
        <v>74</v>
      </c>
      <c r="T598" t="s">
        <v>74</v>
      </c>
      <c r="U598" t="s">
        <v>8201</v>
      </c>
      <c r="V598" t="s">
        <v>8202</v>
      </c>
      <c r="W598" t="s">
        <v>8203</v>
      </c>
      <c r="X598" t="s">
        <v>8204</v>
      </c>
      <c r="Y598" t="s">
        <v>8205</v>
      </c>
      <c r="Z598" t="s">
        <v>74</v>
      </c>
      <c r="AA598" t="s">
        <v>74</v>
      </c>
      <c r="AB598" t="s">
        <v>74</v>
      </c>
      <c r="AC598" t="s">
        <v>74</v>
      </c>
      <c r="AD598" t="s">
        <v>74</v>
      </c>
      <c r="AE598" t="s">
        <v>74</v>
      </c>
      <c r="AF598" t="s">
        <v>74</v>
      </c>
      <c r="AG598">
        <v>28</v>
      </c>
      <c r="AH598">
        <v>6</v>
      </c>
      <c r="AI598">
        <v>7</v>
      </c>
      <c r="AJ598">
        <v>0</v>
      </c>
      <c r="AK598">
        <v>1</v>
      </c>
      <c r="AL598" t="s">
        <v>8206</v>
      </c>
      <c r="AM598" t="s">
        <v>8207</v>
      </c>
      <c r="AN598" t="s">
        <v>8208</v>
      </c>
      <c r="AO598" t="s">
        <v>8209</v>
      </c>
      <c r="AP598" t="s">
        <v>74</v>
      </c>
      <c r="AQ598" t="s">
        <v>74</v>
      </c>
      <c r="AR598" t="s">
        <v>8210</v>
      </c>
      <c r="AS598" t="s">
        <v>8211</v>
      </c>
      <c r="AT598" t="s">
        <v>8101</v>
      </c>
      <c r="AU598">
        <v>1998</v>
      </c>
      <c r="AV598" t="s">
        <v>8212</v>
      </c>
      <c r="AW598">
        <v>1</v>
      </c>
      <c r="AX598" t="s">
        <v>74</v>
      </c>
      <c r="AY598" t="s">
        <v>74</v>
      </c>
      <c r="AZ598" t="s">
        <v>74</v>
      </c>
      <c r="BA598" t="s">
        <v>74</v>
      </c>
      <c r="BB598">
        <v>1</v>
      </c>
      <c r="BC598">
        <v>8</v>
      </c>
      <c r="BD598" t="s">
        <v>74</v>
      </c>
      <c r="BE598" t="s">
        <v>74</v>
      </c>
      <c r="BF598" t="s">
        <v>74</v>
      </c>
      <c r="BG598" t="s">
        <v>74</v>
      </c>
      <c r="BH598" t="s">
        <v>74</v>
      </c>
      <c r="BI598">
        <v>8</v>
      </c>
      <c r="BJ598" t="s">
        <v>8213</v>
      </c>
      <c r="BK598" t="s">
        <v>95</v>
      </c>
      <c r="BL598" t="s">
        <v>8214</v>
      </c>
      <c r="BM598" t="s">
        <v>8215</v>
      </c>
      <c r="BN598" t="s">
        <v>74</v>
      </c>
      <c r="BO598" t="s">
        <v>74</v>
      </c>
      <c r="BP598" t="s">
        <v>74</v>
      </c>
      <c r="BQ598" t="s">
        <v>74</v>
      </c>
      <c r="BR598" t="s">
        <v>98</v>
      </c>
      <c r="BS598" t="s">
        <v>8216</v>
      </c>
      <c r="BT598" t="str">
        <f>HYPERLINK("https%3A%2F%2Fwww.webofscience.com%2Fwos%2Fwoscc%2Ffull-record%2FWOS:000080604400001","View Full Record in Web of Science")</f>
        <v>View Full Record in Web of Science</v>
      </c>
    </row>
    <row r="599" spans="1:72" x14ac:dyDescent="0.15">
      <c r="A599" t="s">
        <v>72</v>
      </c>
      <c r="B599" t="s">
        <v>8217</v>
      </c>
      <c r="C599" t="s">
        <v>74</v>
      </c>
      <c r="D599" t="s">
        <v>74</v>
      </c>
      <c r="E599" t="s">
        <v>74</v>
      </c>
      <c r="F599" t="s">
        <v>8217</v>
      </c>
      <c r="G599" t="s">
        <v>74</v>
      </c>
      <c r="H599" t="s">
        <v>74</v>
      </c>
      <c r="I599" t="s">
        <v>8218</v>
      </c>
      <c r="J599" t="s">
        <v>8219</v>
      </c>
      <c r="K599" t="s">
        <v>74</v>
      </c>
      <c r="L599" t="s">
        <v>74</v>
      </c>
      <c r="M599" t="s">
        <v>77</v>
      </c>
      <c r="N599" t="s">
        <v>103</v>
      </c>
      <c r="O599" t="s">
        <v>74</v>
      </c>
      <c r="P599" t="s">
        <v>74</v>
      </c>
      <c r="Q599" t="s">
        <v>74</v>
      </c>
      <c r="R599" t="s">
        <v>74</v>
      </c>
      <c r="S599" t="s">
        <v>74</v>
      </c>
      <c r="T599" t="s">
        <v>8220</v>
      </c>
      <c r="U599" t="s">
        <v>8221</v>
      </c>
      <c r="V599" t="s">
        <v>8222</v>
      </c>
      <c r="W599" t="s">
        <v>8223</v>
      </c>
      <c r="X599" t="s">
        <v>8224</v>
      </c>
      <c r="Y599" t="s">
        <v>8225</v>
      </c>
      <c r="Z599" t="s">
        <v>74</v>
      </c>
      <c r="AA599" t="s">
        <v>8226</v>
      </c>
      <c r="AB599" t="s">
        <v>8227</v>
      </c>
      <c r="AC599" t="s">
        <v>74</v>
      </c>
      <c r="AD599" t="s">
        <v>74</v>
      </c>
      <c r="AE599" t="s">
        <v>74</v>
      </c>
      <c r="AF599" t="s">
        <v>74</v>
      </c>
      <c r="AG599">
        <v>29</v>
      </c>
      <c r="AH599">
        <v>30</v>
      </c>
      <c r="AI599">
        <v>38</v>
      </c>
      <c r="AJ599">
        <v>0</v>
      </c>
      <c r="AK599">
        <v>6</v>
      </c>
      <c r="AL599" t="s">
        <v>445</v>
      </c>
      <c r="AM599" t="s">
        <v>229</v>
      </c>
      <c r="AN599" t="s">
        <v>446</v>
      </c>
      <c r="AO599" t="s">
        <v>8228</v>
      </c>
      <c r="AP599" t="s">
        <v>74</v>
      </c>
      <c r="AQ599" t="s">
        <v>74</v>
      </c>
      <c r="AR599" t="s">
        <v>8229</v>
      </c>
      <c r="AS599" t="s">
        <v>8230</v>
      </c>
      <c r="AT599" t="s">
        <v>8101</v>
      </c>
      <c r="AU599">
        <v>1998</v>
      </c>
      <c r="AV599">
        <v>120</v>
      </c>
      <c r="AW599">
        <v>4</v>
      </c>
      <c r="AX599" t="s">
        <v>74</v>
      </c>
      <c r="AY599" t="s">
        <v>74</v>
      </c>
      <c r="AZ599" t="s">
        <v>74</v>
      </c>
      <c r="BA599" t="s">
        <v>74</v>
      </c>
      <c r="BB599">
        <v>743</v>
      </c>
      <c r="BC599">
        <v>751</v>
      </c>
      <c r="BD599" t="s">
        <v>74</v>
      </c>
      <c r="BE599" t="s">
        <v>8231</v>
      </c>
      <c r="BF599" t="str">
        <f>HYPERLINK("http://dx.doi.org/10.1016/S0305-0491(98)10073-1","http://dx.doi.org/10.1016/S0305-0491(98)10073-1")</f>
        <v>http://dx.doi.org/10.1016/S0305-0491(98)10073-1</v>
      </c>
      <c r="BG599" t="s">
        <v>74</v>
      </c>
      <c r="BH599" t="s">
        <v>74</v>
      </c>
      <c r="BI599">
        <v>9</v>
      </c>
      <c r="BJ599" t="s">
        <v>8232</v>
      </c>
      <c r="BK599" t="s">
        <v>95</v>
      </c>
      <c r="BL599" t="s">
        <v>8232</v>
      </c>
      <c r="BM599" t="s">
        <v>8233</v>
      </c>
      <c r="BN599">
        <v>9854820</v>
      </c>
      <c r="BO599" t="s">
        <v>1005</v>
      </c>
      <c r="BP599" t="s">
        <v>74</v>
      </c>
      <c r="BQ599" t="s">
        <v>74</v>
      </c>
      <c r="BR599" t="s">
        <v>98</v>
      </c>
      <c r="BS599" t="s">
        <v>8234</v>
      </c>
      <c r="BT599" t="str">
        <f>HYPERLINK("https%3A%2F%2Fwww.webofscience.com%2Fwos%2Fwoscc%2Ffull-record%2FWOS:000076767400015","View Full Record in Web of Science")</f>
        <v>View Full Record in Web of Science</v>
      </c>
    </row>
    <row r="600" spans="1:72" x14ac:dyDescent="0.15">
      <c r="A600" t="s">
        <v>72</v>
      </c>
      <c r="B600" t="s">
        <v>8235</v>
      </c>
      <c r="C600" t="s">
        <v>74</v>
      </c>
      <c r="D600" t="s">
        <v>74</v>
      </c>
      <c r="E600" t="s">
        <v>74</v>
      </c>
      <c r="F600" t="s">
        <v>8235</v>
      </c>
      <c r="G600" t="s">
        <v>74</v>
      </c>
      <c r="H600" t="s">
        <v>74</v>
      </c>
      <c r="I600" t="s">
        <v>8236</v>
      </c>
      <c r="J600" t="s">
        <v>7377</v>
      </c>
      <c r="K600" t="s">
        <v>74</v>
      </c>
      <c r="L600" t="s">
        <v>74</v>
      </c>
      <c r="M600" t="s">
        <v>77</v>
      </c>
      <c r="N600" t="s">
        <v>103</v>
      </c>
      <c r="O600" t="s">
        <v>74</v>
      </c>
      <c r="P600" t="s">
        <v>74</v>
      </c>
      <c r="Q600" t="s">
        <v>74</v>
      </c>
      <c r="R600" t="s">
        <v>74</v>
      </c>
      <c r="S600" t="s">
        <v>74</v>
      </c>
      <c r="T600" t="s">
        <v>8237</v>
      </c>
      <c r="U600" t="s">
        <v>8238</v>
      </c>
      <c r="V600" t="s">
        <v>8239</v>
      </c>
      <c r="W600" t="s">
        <v>8240</v>
      </c>
      <c r="X600" t="s">
        <v>8241</v>
      </c>
      <c r="Y600" t="s">
        <v>8242</v>
      </c>
      <c r="Z600" t="s">
        <v>74</v>
      </c>
      <c r="AA600" t="s">
        <v>74</v>
      </c>
      <c r="AB600" t="s">
        <v>74</v>
      </c>
      <c r="AC600" t="s">
        <v>74</v>
      </c>
      <c r="AD600" t="s">
        <v>74</v>
      </c>
      <c r="AE600" t="s">
        <v>74</v>
      </c>
      <c r="AF600" t="s">
        <v>74</v>
      </c>
      <c r="AG600">
        <v>34</v>
      </c>
      <c r="AH600">
        <v>53</v>
      </c>
      <c r="AI600">
        <v>56</v>
      </c>
      <c r="AJ600">
        <v>0</v>
      </c>
      <c r="AK600">
        <v>17</v>
      </c>
      <c r="AL600" t="s">
        <v>4142</v>
      </c>
      <c r="AM600" t="s">
        <v>1101</v>
      </c>
      <c r="AN600" t="s">
        <v>4143</v>
      </c>
      <c r="AO600" t="s">
        <v>7381</v>
      </c>
      <c r="AP600" t="s">
        <v>74</v>
      </c>
      <c r="AQ600" t="s">
        <v>74</v>
      </c>
      <c r="AR600" t="s">
        <v>7377</v>
      </c>
      <c r="AS600" t="s">
        <v>7382</v>
      </c>
      <c r="AT600" t="s">
        <v>8101</v>
      </c>
      <c r="AU600">
        <v>1998</v>
      </c>
      <c r="AV600">
        <v>37</v>
      </c>
      <c r="AW600">
        <v>1</v>
      </c>
      <c r="AX600" t="s">
        <v>74</v>
      </c>
      <c r="AY600" t="s">
        <v>74</v>
      </c>
      <c r="AZ600" t="s">
        <v>74</v>
      </c>
      <c r="BA600" t="s">
        <v>74</v>
      </c>
      <c r="BB600">
        <v>59</v>
      </c>
      <c r="BC600">
        <v>66</v>
      </c>
      <c r="BD600" t="s">
        <v>74</v>
      </c>
      <c r="BE600" t="s">
        <v>8243</v>
      </c>
      <c r="BF600" t="str">
        <f>HYPERLINK("http://dx.doi.org/10.1006/cryo.1998.2098","http://dx.doi.org/10.1006/cryo.1998.2098")</f>
        <v>http://dx.doi.org/10.1006/cryo.1998.2098</v>
      </c>
      <c r="BG600" t="s">
        <v>74</v>
      </c>
      <c r="BH600" t="s">
        <v>74</v>
      </c>
      <c r="BI600">
        <v>8</v>
      </c>
      <c r="BJ600" t="s">
        <v>7384</v>
      </c>
      <c r="BK600" t="s">
        <v>95</v>
      </c>
      <c r="BL600" t="s">
        <v>7385</v>
      </c>
      <c r="BM600" t="s">
        <v>8244</v>
      </c>
      <c r="BN600">
        <v>9698430</v>
      </c>
      <c r="BO600" t="s">
        <v>74</v>
      </c>
      <c r="BP600" t="s">
        <v>74</v>
      </c>
      <c r="BQ600" t="s">
        <v>74</v>
      </c>
      <c r="BR600" t="s">
        <v>98</v>
      </c>
      <c r="BS600" t="s">
        <v>8245</v>
      </c>
      <c r="BT600" t="str">
        <f>HYPERLINK("https%3A%2F%2Fwww.webofscience.com%2Fwos%2Fwoscc%2Ffull-record%2FWOS:000075366600007","View Full Record in Web of Science")</f>
        <v>View Full Record in Web of Science</v>
      </c>
    </row>
    <row r="601" spans="1:72" x14ac:dyDescent="0.15">
      <c r="A601" t="s">
        <v>72</v>
      </c>
      <c r="B601" t="s">
        <v>8246</v>
      </c>
      <c r="C601" t="s">
        <v>74</v>
      </c>
      <c r="D601" t="s">
        <v>74</v>
      </c>
      <c r="E601" t="s">
        <v>74</v>
      </c>
      <c r="F601" t="s">
        <v>8246</v>
      </c>
      <c r="G601" t="s">
        <v>74</v>
      </c>
      <c r="H601" t="s">
        <v>74</v>
      </c>
      <c r="I601" t="s">
        <v>8247</v>
      </c>
      <c r="J601" t="s">
        <v>6280</v>
      </c>
      <c r="K601" t="s">
        <v>74</v>
      </c>
      <c r="L601" t="s">
        <v>74</v>
      </c>
      <c r="M601" t="s">
        <v>77</v>
      </c>
      <c r="N601" t="s">
        <v>103</v>
      </c>
      <c r="O601" t="s">
        <v>74</v>
      </c>
      <c r="P601" t="s">
        <v>74</v>
      </c>
      <c r="Q601" t="s">
        <v>74</v>
      </c>
      <c r="R601" t="s">
        <v>74</v>
      </c>
      <c r="S601" t="s">
        <v>74</v>
      </c>
      <c r="T601" t="s">
        <v>74</v>
      </c>
      <c r="U601" t="s">
        <v>8248</v>
      </c>
      <c r="V601" t="s">
        <v>8249</v>
      </c>
      <c r="W601" t="s">
        <v>8250</v>
      </c>
      <c r="X601" t="s">
        <v>993</v>
      </c>
      <c r="Y601" t="s">
        <v>8251</v>
      </c>
      <c r="Z601" t="s">
        <v>74</v>
      </c>
      <c r="AA601" t="s">
        <v>74</v>
      </c>
      <c r="AB601" t="s">
        <v>8252</v>
      </c>
      <c r="AC601" t="s">
        <v>74</v>
      </c>
      <c r="AD601" t="s">
        <v>74</v>
      </c>
      <c r="AE601" t="s">
        <v>74</v>
      </c>
      <c r="AF601" t="s">
        <v>74</v>
      </c>
      <c r="AG601">
        <v>49</v>
      </c>
      <c r="AH601">
        <v>72</v>
      </c>
      <c r="AI601">
        <v>83</v>
      </c>
      <c r="AJ601">
        <v>1</v>
      </c>
      <c r="AK601">
        <v>13</v>
      </c>
      <c r="AL601" t="s">
        <v>445</v>
      </c>
      <c r="AM601" t="s">
        <v>229</v>
      </c>
      <c r="AN601" t="s">
        <v>446</v>
      </c>
      <c r="AO601" t="s">
        <v>6289</v>
      </c>
      <c r="AP601" t="s">
        <v>74</v>
      </c>
      <c r="AQ601" t="s">
        <v>74</v>
      </c>
      <c r="AR601" t="s">
        <v>6291</v>
      </c>
      <c r="AS601" t="s">
        <v>6292</v>
      </c>
      <c r="AT601" t="s">
        <v>8101</v>
      </c>
      <c r="AU601">
        <v>1998</v>
      </c>
      <c r="AV601">
        <v>45</v>
      </c>
      <c r="AW601">
        <v>8</v>
      </c>
      <c r="AX601" t="s">
        <v>74</v>
      </c>
      <c r="AY601" t="s">
        <v>74</v>
      </c>
      <c r="AZ601" t="s">
        <v>74</v>
      </c>
      <c r="BA601" t="s">
        <v>74</v>
      </c>
      <c r="BB601">
        <v>1211</v>
      </c>
      <c r="BC601">
        <v>1234</v>
      </c>
      <c r="BD601" t="s">
        <v>74</v>
      </c>
      <c r="BE601" t="s">
        <v>8253</v>
      </c>
      <c r="BF601" t="str">
        <f>HYPERLINK("http://dx.doi.org/10.1016/S0967-0637(98)00021-1","http://dx.doi.org/10.1016/S0967-0637(98)00021-1")</f>
        <v>http://dx.doi.org/10.1016/S0967-0637(98)00021-1</v>
      </c>
      <c r="BG601" t="s">
        <v>74</v>
      </c>
      <c r="BH601" t="s">
        <v>74</v>
      </c>
      <c r="BI601">
        <v>24</v>
      </c>
      <c r="BJ601" t="s">
        <v>451</v>
      </c>
      <c r="BK601" t="s">
        <v>95</v>
      </c>
      <c r="BL601" t="s">
        <v>451</v>
      </c>
      <c r="BM601" t="s">
        <v>8254</v>
      </c>
      <c r="BN601" t="s">
        <v>74</v>
      </c>
      <c r="BO601" t="s">
        <v>1429</v>
      </c>
      <c r="BP601" t="s">
        <v>74</v>
      </c>
      <c r="BQ601" t="s">
        <v>74</v>
      </c>
      <c r="BR601" t="s">
        <v>98</v>
      </c>
      <c r="BS601" t="s">
        <v>8255</v>
      </c>
      <c r="BT601" t="str">
        <f>HYPERLINK("https%3A%2F%2Fwww.webofscience.com%2Fwos%2Fwoscc%2Ffull-record%2FWOS:000075978300001","View Full Record in Web of Science")</f>
        <v>View Full Record in Web of Science</v>
      </c>
    </row>
    <row r="602" spans="1:72" x14ac:dyDescent="0.15">
      <c r="A602" t="s">
        <v>72</v>
      </c>
      <c r="B602" t="s">
        <v>8256</v>
      </c>
      <c r="C602" t="s">
        <v>74</v>
      </c>
      <c r="D602" t="s">
        <v>74</v>
      </c>
      <c r="E602" t="s">
        <v>74</v>
      </c>
      <c r="F602" t="s">
        <v>8256</v>
      </c>
      <c r="G602" t="s">
        <v>74</v>
      </c>
      <c r="H602" t="s">
        <v>74</v>
      </c>
      <c r="I602" t="s">
        <v>8257</v>
      </c>
      <c r="J602" t="s">
        <v>6280</v>
      </c>
      <c r="K602" t="s">
        <v>74</v>
      </c>
      <c r="L602" t="s">
        <v>74</v>
      </c>
      <c r="M602" t="s">
        <v>77</v>
      </c>
      <c r="N602" t="s">
        <v>103</v>
      </c>
      <c r="O602" t="s">
        <v>74</v>
      </c>
      <c r="P602" t="s">
        <v>74</v>
      </c>
      <c r="Q602" t="s">
        <v>74</v>
      </c>
      <c r="R602" t="s">
        <v>74</v>
      </c>
      <c r="S602" t="s">
        <v>74</v>
      </c>
      <c r="T602" t="s">
        <v>74</v>
      </c>
      <c r="U602" t="s">
        <v>8258</v>
      </c>
      <c r="V602" t="s">
        <v>8259</v>
      </c>
      <c r="W602" t="s">
        <v>8260</v>
      </c>
      <c r="X602" t="s">
        <v>8261</v>
      </c>
      <c r="Y602" t="s">
        <v>8262</v>
      </c>
      <c r="Z602" t="s">
        <v>74</v>
      </c>
      <c r="AA602" t="s">
        <v>74</v>
      </c>
      <c r="AB602" t="s">
        <v>74</v>
      </c>
      <c r="AC602" t="s">
        <v>74</v>
      </c>
      <c r="AD602" t="s">
        <v>74</v>
      </c>
      <c r="AE602" t="s">
        <v>74</v>
      </c>
      <c r="AF602" t="s">
        <v>74</v>
      </c>
      <c r="AG602">
        <v>61</v>
      </c>
      <c r="AH602">
        <v>66</v>
      </c>
      <c r="AI602">
        <v>79</v>
      </c>
      <c r="AJ602">
        <v>0</v>
      </c>
      <c r="AK602">
        <v>10</v>
      </c>
      <c r="AL602" t="s">
        <v>445</v>
      </c>
      <c r="AM602" t="s">
        <v>229</v>
      </c>
      <c r="AN602" t="s">
        <v>446</v>
      </c>
      <c r="AO602" t="s">
        <v>6289</v>
      </c>
      <c r="AP602" t="s">
        <v>74</v>
      </c>
      <c r="AQ602" t="s">
        <v>74</v>
      </c>
      <c r="AR602" t="s">
        <v>6291</v>
      </c>
      <c r="AS602" t="s">
        <v>6292</v>
      </c>
      <c r="AT602" t="s">
        <v>8101</v>
      </c>
      <c r="AU602">
        <v>1998</v>
      </c>
      <c r="AV602">
        <v>45</v>
      </c>
      <c r="AW602">
        <v>8</v>
      </c>
      <c r="AX602" t="s">
        <v>74</v>
      </c>
      <c r="AY602" t="s">
        <v>74</v>
      </c>
      <c r="AZ602" t="s">
        <v>74</v>
      </c>
      <c r="BA602" t="s">
        <v>74</v>
      </c>
      <c r="BB602">
        <v>1235</v>
      </c>
      <c r="BC602">
        <v>1262</v>
      </c>
      <c r="BD602" t="s">
        <v>74</v>
      </c>
      <c r="BE602" t="s">
        <v>8263</v>
      </c>
      <c r="BF602" t="str">
        <f>HYPERLINK("http://dx.doi.org/10.1016/S0967-0637(98)00011-9","http://dx.doi.org/10.1016/S0967-0637(98)00011-9")</f>
        <v>http://dx.doi.org/10.1016/S0967-0637(98)00011-9</v>
      </c>
      <c r="BG602" t="s">
        <v>74</v>
      </c>
      <c r="BH602" t="s">
        <v>74</v>
      </c>
      <c r="BI602">
        <v>28</v>
      </c>
      <c r="BJ602" t="s">
        <v>451</v>
      </c>
      <c r="BK602" t="s">
        <v>95</v>
      </c>
      <c r="BL602" t="s">
        <v>451</v>
      </c>
      <c r="BM602" t="s">
        <v>8254</v>
      </c>
      <c r="BN602" t="s">
        <v>74</v>
      </c>
      <c r="BO602" t="s">
        <v>74</v>
      </c>
      <c r="BP602" t="s">
        <v>74</v>
      </c>
      <c r="BQ602" t="s">
        <v>74</v>
      </c>
      <c r="BR602" t="s">
        <v>98</v>
      </c>
      <c r="BS602" t="s">
        <v>8264</v>
      </c>
      <c r="BT602" t="str">
        <f>HYPERLINK("https%3A%2F%2Fwww.webofscience.com%2Fwos%2Fwoscc%2Ffull-record%2FWOS:000075978300002","View Full Record in Web of Science")</f>
        <v>View Full Record in Web of Science</v>
      </c>
    </row>
    <row r="603" spans="1:72" x14ac:dyDescent="0.15">
      <c r="A603" t="s">
        <v>72</v>
      </c>
      <c r="B603" t="s">
        <v>8265</v>
      </c>
      <c r="C603" t="s">
        <v>74</v>
      </c>
      <c r="D603" t="s">
        <v>74</v>
      </c>
      <c r="E603" t="s">
        <v>74</v>
      </c>
      <c r="F603" t="s">
        <v>8265</v>
      </c>
      <c r="G603" t="s">
        <v>74</v>
      </c>
      <c r="H603" t="s">
        <v>74</v>
      </c>
      <c r="I603" t="s">
        <v>8266</v>
      </c>
      <c r="J603" t="s">
        <v>6280</v>
      </c>
      <c r="K603" t="s">
        <v>74</v>
      </c>
      <c r="L603" t="s">
        <v>74</v>
      </c>
      <c r="M603" t="s">
        <v>77</v>
      </c>
      <c r="N603" t="s">
        <v>103</v>
      </c>
      <c r="O603" t="s">
        <v>74</v>
      </c>
      <c r="P603" t="s">
        <v>74</v>
      </c>
      <c r="Q603" t="s">
        <v>74</v>
      </c>
      <c r="R603" t="s">
        <v>74</v>
      </c>
      <c r="S603" t="s">
        <v>74</v>
      </c>
      <c r="T603" t="s">
        <v>74</v>
      </c>
      <c r="U603" t="s">
        <v>8267</v>
      </c>
      <c r="V603" t="s">
        <v>8268</v>
      </c>
      <c r="W603" t="s">
        <v>8269</v>
      </c>
      <c r="X603" t="s">
        <v>8270</v>
      </c>
      <c r="Y603" t="s">
        <v>8271</v>
      </c>
      <c r="Z603" t="s">
        <v>74</v>
      </c>
      <c r="AA603" t="s">
        <v>8272</v>
      </c>
      <c r="AB603" t="s">
        <v>8273</v>
      </c>
      <c r="AC603" t="s">
        <v>74</v>
      </c>
      <c r="AD603" t="s">
        <v>74</v>
      </c>
      <c r="AE603" t="s">
        <v>74</v>
      </c>
      <c r="AF603" t="s">
        <v>74</v>
      </c>
      <c r="AG603">
        <v>43</v>
      </c>
      <c r="AH603">
        <v>251</v>
      </c>
      <c r="AI603">
        <v>270</v>
      </c>
      <c r="AJ603">
        <v>3</v>
      </c>
      <c r="AK603">
        <v>59</v>
      </c>
      <c r="AL603" t="s">
        <v>445</v>
      </c>
      <c r="AM603" t="s">
        <v>229</v>
      </c>
      <c r="AN603" t="s">
        <v>446</v>
      </c>
      <c r="AO603" t="s">
        <v>6289</v>
      </c>
      <c r="AP603" t="s">
        <v>74</v>
      </c>
      <c r="AQ603" t="s">
        <v>74</v>
      </c>
      <c r="AR603" t="s">
        <v>6291</v>
      </c>
      <c r="AS603" t="s">
        <v>6292</v>
      </c>
      <c r="AT603" t="s">
        <v>8101</v>
      </c>
      <c r="AU603">
        <v>1998</v>
      </c>
      <c r="AV603">
        <v>45</v>
      </c>
      <c r="AW603">
        <v>8</v>
      </c>
      <c r="AX603" t="s">
        <v>74</v>
      </c>
      <c r="AY603" t="s">
        <v>74</v>
      </c>
      <c r="AZ603" t="s">
        <v>74</v>
      </c>
      <c r="BA603" t="s">
        <v>74</v>
      </c>
      <c r="BB603">
        <v>1339</v>
      </c>
      <c r="BC603">
        <v>1355</v>
      </c>
      <c r="BD603" t="s">
        <v>74</v>
      </c>
      <c r="BE603" t="s">
        <v>8274</v>
      </c>
      <c r="BF603" t="str">
        <f>HYPERLINK("http://dx.doi.org/10.1016/S0967-0637(98)00015-6","http://dx.doi.org/10.1016/S0967-0637(98)00015-6")</f>
        <v>http://dx.doi.org/10.1016/S0967-0637(98)00015-6</v>
      </c>
      <c r="BG603" t="s">
        <v>74</v>
      </c>
      <c r="BH603" t="s">
        <v>74</v>
      </c>
      <c r="BI603">
        <v>17</v>
      </c>
      <c r="BJ603" t="s">
        <v>451</v>
      </c>
      <c r="BK603" t="s">
        <v>95</v>
      </c>
      <c r="BL603" t="s">
        <v>451</v>
      </c>
      <c r="BM603" t="s">
        <v>8254</v>
      </c>
      <c r="BN603" t="s">
        <v>74</v>
      </c>
      <c r="BO603" t="s">
        <v>74</v>
      </c>
      <c r="BP603" t="s">
        <v>74</v>
      </c>
      <c r="BQ603" t="s">
        <v>74</v>
      </c>
      <c r="BR603" t="s">
        <v>98</v>
      </c>
      <c r="BS603" t="s">
        <v>8275</v>
      </c>
      <c r="BT603" t="str">
        <f>HYPERLINK("https%3A%2F%2Fwww.webofscience.com%2Fwos%2Fwoscc%2Ffull-record%2FWOS:000075978300007","View Full Record in Web of Science")</f>
        <v>View Full Record in Web of Science</v>
      </c>
    </row>
    <row r="604" spans="1:72" x14ac:dyDescent="0.15">
      <c r="A604" t="s">
        <v>72</v>
      </c>
      <c r="B604" t="s">
        <v>8276</v>
      </c>
      <c r="C604" t="s">
        <v>74</v>
      </c>
      <c r="D604" t="s">
        <v>74</v>
      </c>
      <c r="E604" t="s">
        <v>74</v>
      </c>
      <c r="F604" t="s">
        <v>8276</v>
      </c>
      <c r="G604" t="s">
        <v>74</v>
      </c>
      <c r="H604" t="s">
        <v>74</v>
      </c>
      <c r="I604" t="s">
        <v>8277</v>
      </c>
      <c r="J604" t="s">
        <v>6280</v>
      </c>
      <c r="K604" t="s">
        <v>74</v>
      </c>
      <c r="L604" t="s">
        <v>74</v>
      </c>
      <c r="M604" t="s">
        <v>77</v>
      </c>
      <c r="N604" t="s">
        <v>103</v>
      </c>
      <c r="O604" t="s">
        <v>74</v>
      </c>
      <c r="P604" t="s">
        <v>74</v>
      </c>
      <c r="Q604" t="s">
        <v>74</v>
      </c>
      <c r="R604" t="s">
        <v>74</v>
      </c>
      <c r="S604" t="s">
        <v>74</v>
      </c>
      <c r="T604" t="s">
        <v>74</v>
      </c>
      <c r="U604" t="s">
        <v>8278</v>
      </c>
      <c r="V604" t="s">
        <v>8279</v>
      </c>
      <c r="W604" t="s">
        <v>944</v>
      </c>
      <c r="X604" t="s">
        <v>628</v>
      </c>
      <c r="Y604" t="s">
        <v>8280</v>
      </c>
      <c r="Z604" t="s">
        <v>74</v>
      </c>
      <c r="AA604" t="s">
        <v>74</v>
      </c>
      <c r="AB604" t="s">
        <v>74</v>
      </c>
      <c r="AC604" t="s">
        <v>74</v>
      </c>
      <c r="AD604" t="s">
        <v>74</v>
      </c>
      <c r="AE604" t="s">
        <v>74</v>
      </c>
      <c r="AF604" t="s">
        <v>74</v>
      </c>
      <c r="AG604">
        <v>51</v>
      </c>
      <c r="AH604">
        <v>29</v>
      </c>
      <c r="AI604">
        <v>29</v>
      </c>
      <c r="AJ604">
        <v>0</v>
      </c>
      <c r="AK604">
        <v>17</v>
      </c>
      <c r="AL604" t="s">
        <v>445</v>
      </c>
      <c r="AM604" t="s">
        <v>229</v>
      </c>
      <c r="AN604" t="s">
        <v>446</v>
      </c>
      <c r="AO604" t="s">
        <v>6289</v>
      </c>
      <c r="AP604" t="s">
        <v>74</v>
      </c>
      <c r="AQ604" t="s">
        <v>74</v>
      </c>
      <c r="AR604" t="s">
        <v>6291</v>
      </c>
      <c r="AS604" t="s">
        <v>6292</v>
      </c>
      <c r="AT604" t="s">
        <v>8101</v>
      </c>
      <c r="AU604">
        <v>1998</v>
      </c>
      <c r="AV604">
        <v>45</v>
      </c>
      <c r="AW604">
        <v>8</v>
      </c>
      <c r="AX604" t="s">
        <v>74</v>
      </c>
      <c r="AY604" t="s">
        <v>74</v>
      </c>
      <c r="AZ604" t="s">
        <v>74</v>
      </c>
      <c r="BA604" t="s">
        <v>74</v>
      </c>
      <c r="BB604">
        <v>1357</v>
      </c>
      <c r="BC604">
        <v>1381</v>
      </c>
      <c r="BD604" t="s">
        <v>74</v>
      </c>
      <c r="BE604" t="s">
        <v>8281</v>
      </c>
      <c r="BF604" t="str">
        <f>HYPERLINK("http://dx.doi.org/10.1016/S0967-0637(98)00022-3","http://dx.doi.org/10.1016/S0967-0637(98)00022-3")</f>
        <v>http://dx.doi.org/10.1016/S0967-0637(98)00022-3</v>
      </c>
      <c r="BG604" t="s">
        <v>74</v>
      </c>
      <c r="BH604" t="s">
        <v>74</v>
      </c>
      <c r="BI604">
        <v>25</v>
      </c>
      <c r="BJ604" t="s">
        <v>451</v>
      </c>
      <c r="BK604" t="s">
        <v>95</v>
      </c>
      <c r="BL604" t="s">
        <v>451</v>
      </c>
      <c r="BM604" t="s">
        <v>8254</v>
      </c>
      <c r="BN604" t="s">
        <v>74</v>
      </c>
      <c r="BO604" t="s">
        <v>74</v>
      </c>
      <c r="BP604" t="s">
        <v>74</v>
      </c>
      <c r="BQ604" t="s">
        <v>74</v>
      </c>
      <c r="BR604" t="s">
        <v>98</v>
      </c>
      <c r="BS604" t="s">
        <v>8282</v>
      </c>
      <c r="BT604" t="str">
        <f>HYPERLINK("https%3A%2F%2Fwww.webofscience.com%2Fwos%2Fwoscc%2Ffull-record%2FWOS:000075978300008","View Full Record in Web of Science")</f>
        <v>View Full Record in Web of Science</v>
      </c>
    </row>
    <row r="605" spans="1:72" x14ac:dyDescent="0.15">
      <c r="A605" t="s">
        <v>72</v>
      </c>
      <c r="B605" t="s">
        <v>8283</v>
      </c>
      <c r="C605" t="s">
        <v>74</v>
      </c>
      <c r="D605" t="s">
        <v>74</v>
      </c>
      <c r="E605" t="s">
        <v>74</v>
      </c>
      <c r="F605" t="s">
        <v>8283</v>
      </c>
      <c r="G605" t="s">
        <v>74</v>
      </c>
      <c r="H605" t="s">
        <v>74</v>
      </c>
      <c r="I605" t="s">
        <v>8284</v>
      </c>
      <c r="J605" t="s">
        <v>3624</v>
      </c>
      <c r="K605" t="s">
        <v>74</v>
      </c>
      <c r="L605" t="s">
        <v>74</v>
      </c>
      <c r="M605" t="s">
        <v>77</v>
      </c>
      <c r="N605" t="s">
        <v>103</v>
      </c>
      <c r="O605" t="s">
        <v>74</v>
      </c>
      <c r="P605" t="s">
        <v>74</v>
      </c>
      <c r="Q605" t="s">
        <v>74</v>
      </c>
      <c r="R605" t="s">
        <v>74</v>
      </c>
      <c r="S605" t="s">
        <v>74</v>
      </c>
      <c r="T605" t="s">
        <v>8285</v>
      </c>
      <c r="U605" t="s">
        <v>8286</v>
      </c>
      <c r="V605" t="s">
        <v>8287</v>
      </c>
      <c r="W605" t="s">
        <v>8288</v>
      </c>
      <c r="X605" t="s">
        <v>8289</v>
      </c>
      <c r="Y605" t="s">
        <v>8290</v>
      </c>
      <c r="Z605" t="s">
        <v>8291</v>
      </c>
      <c r="AA605" t="s">
        <v>8292</v>
      </c>
      <c r="AB605" t="s">
        <v>8293</v>
      </c>
      <c r="AC605" t="s">
        <v>74</v>
      </c>
      <c r="AD605" t="s">
        <v>74</v>
      </c>
      <c r="AE605" t="s">
        <v>74</v>
      </c>
      <c r="AF605" t="s">
        <v>74</v>
      </c>
      <c r="AG605">
        <v>39</v>
      </c>
      <c r="AH605">
        <v>30</v>
      </c>
      <c r="AI605">
        <v>32</v>
      </c>
      <c r="AJ605">
        <v>3</v>
      </c>
      <c r="AK605">
        <v>11</v>
      </c>
      <c r="AL605" t="s">
        <v>1037</v>
      </c>
      <c r="AM605" t="s">
        <v>1038</v>
      </c>
      <c r="AN605" t="s">
        <v>1039</v>
      </c>
      <c r="AO605" t="s">
        <v>3630</v>
      </c>
      <c r="AP605" t="s">
        <v>3788</v>
      </c>
      <c r="AQ605" t="s">
        <v>74</v>
      </c>
      <c r="AR605" t="s">
        <v>3631</v>
      </c>
      <c r="AS605" t="s">
        <v>3632</v>
      </c>
      <c r="AT605" t="s">
        <v>8101</v>
      </c>
      <c r="AU605">
        <v>1998</v>
      </c>
      <c r="AV605">
        <v>160</v>
      </c>
      <c r="AW605" t="s">
        <v>1282</v>
      </c>
      <c r="AX605" t="s">
        <v>74</v>
      </c>
      <c r="AY605" t="s">
        <v>74</v>
      </c>
      <c r="AZ605" t="s">
        <v>74</v>
      </c>
      <c r="BA605" t="s">
        <v>74</v>
      </c>
      <c r="BB605">
        <v>777</v>
      </c>
      <c r="BC605">
        <v>793</v>
      </c>
      <c r="BD605" t="s">
        <v>74</v>
      </c>
      <c r="BE605" t="s">
        <v>8294</v>
      </c>
      <c r="BF605" t="str">
        <f>HYPERLINK("http://dx.doi.org/10.1016/S0012-821X(98)00127-7","http://dx.doi.org/10.1016/S0012-821X(98)00127-7")</f>
        <v>http://dx.doi.org/10.1016/S0012-821X(98)00127-7</v>
      </c>
      <c r="BG605" t="s">
        <v>74</v>
      </c>
      <c r="BH605" t="s">
        <v>74</v>
      </c>
      <c r="BI605">
        <v>17</v>
      </c>
      <c r="BJ605" t="s">
        <v>303</v>
      </c>
      <c r="BK605" t="s">
        <v>95</v>
      </c>
      <c r="BL605" t="s">
        <v>303</v>
      </c>
      <c r="BM605" t="s">
        <v>8295</v>
      </c>
      <c r="BN605" t="s">
        <v>74</v>
      </c>
      <c r="BO605" t="s">
        <v>74</v>
      </c>
      <c r="BP605" t="s">
        <v>74</v>
      </c>
      <c r="BQ605" t="s">
        <v>74</v>
      </c>
      <c r="BR605" t="s">
        <v>98</v>
      </c>
      <c r="BS605" t="s">
        <v>8296</v>
      </c>
      <c r="BT605" t="str">
        <f>HYPERLINK("https%3A%2F%2Fwww.webofscience.com%2Fwos%2Fwoscc%2Ffull-record%2FWOS:000075835000041","View Full Record in Web of Science")</f>
        <v>View Full Record in Web of Science</v>
      </c>
    </row>
    <row r="606" spans="1:72" x14ac:dyDescent="0.15">
      <c r="A606" t="s">
        <v>72</v>
      </c>
      <c r="B606" t="s">
        <v>8297</v>
      </c>
      <c r="C606" t="s">
        <v>74</v>
      </c>
      <c r="D606" t="s">
        <v>74</v>
      </c>
      <c r="E606" t="s">
        <v>74</v>
      </c>
      <c r="F606" t="s">
        <v>8297</v>
      </c>
      <c r="G606" t="s">
        <v>74</v>
      </c>
      <c r="H606" t="s">
        <v>74</v>
      </c>
      <c r="I606" t="s">
        <v>8298</v>
      </c>
      <c r="J606" t="s">
        <v>8299</v>
      </c>
      <c r="K606" t="s">
        <v>74</v>
      </c>
      <c r="L606" t="s">
        <v>74</v>
      </c>
      <c r="M606" t="s">
        <v>77</v>
      </c>
      <c r="N606" t="s">
        <v>103</v>
      </c>
      <c r="O606" t="s">
        <v>74</v>
      </c>
      <c r="P606" t="s">
        <v>74</v>
      </c>
      <c r="Q606" t="s">
        <v>74</v>
      </c>
      <c r="R606" t="s">
        <v>74</v>
      </c>
      <c r="S606" t="s">
        <v>74</v>
      </c>
      <c r="T606" t="s">
        <v>74</v>
      </c>
      <c r="U606" t="s">
        <v>8300</v>
      </c>
      <c r="V606" t="s">
        <v>8301</v>
      </c>
      <c r="W606" t="s">
        <v>8302</v>
      </c>
      <c r="X606" t="s">
        <v>8303</v>
      </c>
      <c r="Y606" t="s">
        <v>6150</v>
      </c>
      <c r="Z606" t="s">
        <v>8304</v>
      </c>
      <c r="AA606" t="s">
        <v>6152</v>
      </c>
      <c r="AB606" t="s">
        <v>74</v>
      </c>
      <c r="AC606" t="s">
        <v>74</v>
      </c>
      <c r="AD606" t="s">
        <v>74</v>
      </c>
      <c r="AE606" t="s">
        <v>74</v>
      </c>
      <c r="AF606" t="s">
        <v>74</v>
      </c>
      <c r="AG606">
        <v>84</v>
      </c>
      <c r="AH606">
        <v>34</v>
      </c>
      <c r="AI606">
        <v>38</v>
      </c>
      <c r="AJ606">
        <v>3</v>
      </c>
      <c r="AK606">
        <v>39</v>
      </c>
      <c r="AL606" t="s">
        <v>655</v>
      </c>
      <c r="AM606" t="s">
        <v>656</v>
      </c>
      <c r="AN606" t="s">
        <v>657</v>
      </c>
      <c r="AO606" t="s">
        <v>8305</v>
      </c>
      <c r="AP606" t="s">
        <v>8306</v>
      </c>
      <c r="AQ606" t="s">
        <v>74</v>
      </c>
      <c r="AR606" t="s">
        <v>8299</v>
      </c>
      <c r="AS606" t="s">
        <v>8307</v>
      </c>
      <c r="AT606" t="s">
        <v>8101</v>
      </c>
      <c r="AU606">
        <v>1998</v>
      </c>
      <c r="AV606">
        <v>21</v>
      </c>
      <c r="AW606">
        <v>4</v>
      </c>
      <c r="AX606" t="s">
        <v>74</v>
      </c>
      <c r="AY606" t="s">
        <v>74</v>
      </c>
      <c r="AZ606" t="s">
        <v>74</v>
      </c>
      <c r="BA606" t="s">
        <v>74</v>
      </c>
      <c r="BB606">
        <v>342</v>
      </c>
      <c r="BC606">
        <v>350</v>
      </c>
      <c r="BD606" t="s">
        <v>74</v>
      </c>
      <c r="BE606" t="s">
        <v>8308</v>
      </c>
      <c r="BF606" t="str">
        <f>HYPERLINK("http://dx.doi.org/10.1111/j.1600-0587.1998.tb00399.x","http://dx.doi.org/10.1111/j.1600-0587.1998.tb00399.x")</f>
        <v>http://dx.doi.org/10.1111/j.1600-0587.1998.tb00399.x</v>
      </c>
      <c r="BG606" t="s">
        <v>74</v>
      </c>
      <c r="BH606" t="s">
        <v>74</v>
      </c>
      <c r="BI606">
        <v>9</v>
      </c>
      <c r="BJ606" t="s">
        <v>2615</v>
      </c>
      <c r="BK606" t="s">
        <v>95</v>
      </c>
      <c r="BL606" t="s">
        <v>2616</v>
      </c>
      <c r="BM606" t="s">
        <v>8309</v>
      </c>
      <c r="BN606" t="s">
        <v>74</v>
      </c>
      <c r="BO606" t="s">
        <v>74</v>
      </c>
      <c r="BP606" t="s">
        <v>74</v>
      </c>
      <c r="BQ606" t="s">
        <v>74</v>
      </c>
      <c r="BR606" t="s">
        <v>98</v>
      </c>
      <c r="BS606" t="s">
        <v>8310</v>
      </c>
      <c r="BT606" t="str">
        <f>HYPERLINK("https%3A%2F%2Fwww.webofscience.com%2Fwos%2Fwoscc%2Ffull-record%2FWOS:000075218800002","View Full Record in Web of Science")</f>
        <v>View Full Record in Web of Science</v>
      </c>
    </row>
    <row r="607" spans="1:72" x14ac:dyDescent="0.15">
      <c r="A607" t="s">
        <v>72</v>
      </c>
      <c r="B607" t="s">
        <v>8311</v>
      </c>
      <c r="C607" t="s">
        <v>74</v>
      </c>
      <c r="D607" t="s">
        <v>74</v>
      </c>
      <c r="E607" t="s">
        <v>74</v>
      </c>
      <c r="F607" t="s">
        <v>8311</v>
      </c>
      <c r="G607" t="s">
        <v>74</v>
      </c>
      <c r="H607" t="s">
        <v>74</v>
      </c>
      <c r="I607" t="s">
        <v>8312</v>
      </c>
      <c r="J607" t="s">
        <v>8313</v>
      </c>
      <c r="K607" t="s">
        <v>74</v>
      </c>
      <c r="L607" t="s">
        <v>74</v>
      </c>
      <c r="M607" t="s">
        <v>77</v>
      </c>
      <c r="N607" t="s">
        <v>2667</v>
      </c>
      <c r="O607" t="s">
        <v>74</v>
      </c>
      <c r="P607" t="s">
        <v>74</v>
      </c>
      <c r="Q607" t="s">
        <v>74</v>
      </c>
      <c r="R607" t="s">
        <v>74</v>
      </c>
      <c r="S607" t="s">
        <v>74</v>
      </c>
      <c r="T607" t="s">
        <v>74</v>
      </c>
      <c r="U607" t="s">
        <v>8314</v>
      </c>
      <c r="V607" t="s">
        <v>74</v>
      </c>
      <c r="W607" t="s">
        <v>8315</v>
      </c>
      <c r="X607" t="s">
        <v>8316</v>
      </c>
      <c r="Y607" t="s">
        <v>8317</v>
      </c>
      <c r="Z607" t="s">
        <v>74</v>
      </c>
      <c r="AA607" t="s">
        <v>74</v>
      </c>
      <c r="AB607" t="s">
        <v>74</v>
      </c>
      <c r="AC607" t="s">
        <v>74</v>
      </c>
      <c r="AD607" t="s">
        <v>74</v>
      </c>
      <c r="AE607" t="s">
        <v>74</v>
      </c>
      <c r="AF607" t="s">
        <v>74</v>
      </c>
      <c r="AG607">
        <v>77</v>
      </c>
      <c r="AH607">
        <v>8</v>
      </c>
      <c r="AI607">
        <v>8</v>
      </c>
      <c r="AJ607">
        <v>0</v>
      </c>
      <c r="AK607">
        <v>14</v>
      </c>
      <c r="AL607" t="s">
        <v>4142</v>
      </c>
      <c r="AM607" t="s">
        <v>1101</v>
      </c>
      <c r="AN607" t="s">
        <v>4143</v>
      </c>
      <c r="AO607" t="s">
        <v>8318</v>
      </c>
      <c r="AP607" t="s">
        <v>74</v>
      </c>
      <c r="AQ607" t="s">
        <v>74</v>
      </c>
      <c r="AR607" t="s">
        <v>8319</v>
      </c>
      <c r="AS607" t="s">
        <v>8320</v>
      </c>
      <c r="AT607" t="s">
        <v>8101</v>
      </c>
      <c r="AU607">
        <v>1998</v>
      </c>
      <c r="AV607">
        <v>78</v>
      </c>
      <c r="AW607">
        <v>2</v>
      </c>
      <c r="AX607" t="s">
        <v>74</v>
      </c>
      <c r="AY607" t="s">
        <v>74</v>
      </c>
      <c r="AZ607" t="s">
        <v>74</v>
      </c>
      <c r="BA607" t="s">
        <v>74</v>
      </c>
      <c r="BB607">
        <v>65</v>
      </c>
      <c r="BC607">
        <v>70</v>
      </c>
      <c r="BD607" t="s">
        <v>74</v>
      </c>
      <c r="BE607" t="s">
        <v>8321</v>
      </c>
      <c r="BF607" t="str">
        <f>HYPERLINK("http://dx.doi.org/10.1006/enrs.1998.3861","http://dx.doi.org/10.1006/enrs.1998.3861")</f>
        <v>http://dx.doi.org/10.1006/enrs.1998.3861</v>
      </c>
      <c r="BG607" t="s">
        <v>74</v>
      </c>
      <c r="BH607" t="s">
        <v>74</v>
      </c>
      <c r="BI607">
        <v>6</v>
      </c>
      <c r="BJ607" t="s">
        <v>8322</v>
      </c>
      <c r="BK607" t="s">
        <v>95</v>
      </c>
      <c r="BL607" t="s">
        <v>8323</v>
      </c>
      <c r="BM607" t="s">
        <v>8324</v>
      </c>
      <c r="BN607" t="s">
        <v>74</v>
      </c>
      <c r="BO607" t="s">
        <v>74</v>
      </c>
      <c r="BP607" t="s">
        <v>74</v>
      </c>
      <c r="BQ607" t="s">
        <v>74</v>
      </c>
      <c r="BR607" t="s">
        <v>98</v>
      </c>
      <c r="BS607" t="s">
        <v>8325</v>
      </c>
      <c r="BT607" t="str">
        <f>HYPERLINK("https%3A%2F%2Fwww.webofscience.com%2Fwos%2Fwoscc%2Ffull-record%2FWOS:000075538200001","View Full Record in Web of Science")</f>
        <v>View Full Record in Web of Science</v>
      </c>
    </row>
    <row r="608" spans="1:72" x14ac:dyDescent="0.15">
      <c r="A608" t="s">
        <v>72</v>
      </c>
      <c r="B608" t="s">
        <v>8326</v>
      </c>
      <c r="C608" t="s">
        <v>74</v>
      </c>
      <c r="D608" t="s">
        <v>74</v>
      </c>
      <c r="E608" t="s">
        <v>74</v>
      </c>
      <c r="F608" t="s">
        <v>8326</v>
      </c>
      <c r="G608" t="s">
        <v>74</v>
      </c>
      <c r="H608" t="s">
        <v>74</v>
      </c>
      <c r="I608" t="s">
        <v>8327</v>
      </c>
      <c r="J608" t="s">
        <v>8313</v>
      </c>
      <c r="K608" t="s">
        <v>74</v>
      </c>
      <c r="L608" t="s">
        <v>74</v>
      </c>
      <c r="M608" t="s">
        <v>77</v>
      </c>
      <c r="N608" t="s">
        <v>103</v>
      </c>
      <c r="O608" t="s">
        <v>74</v>
      </c>
      <c r="P608" t="s">
        <v>74</v>
      </c>
      <c r="Q608" t="s">
        <v>74</v>
      </c>
      <c r="R608" t="s">
        <v>74</v>
      </c>
      <c r="S608" t="s">
        <v>74</v>
      </c>
      <c r="T608" t="s">
        <v>8328</v>
      </c>
      <c r="U608" t="s">
        <v>8329</v>
      </c>
      <c r="V608" t="s">
        <v>8330</v>
      </c>
      <c r="W608" t="s">
        <v>8331</v>
      </c>
      <c r="X608" t="s">
        <v>8332</v>
      </c>
      <c r="Y608" t="s">
        <v>8333</v>
      </c>
      <c r="Z608" t="s">
        <v>74</v>
      </c>
      <c r="AA608" t="s">
        <v>8334</v>
      </c>
      <c r="AB608" t="s">
        <v>8335</v>
      </c>
      <c r="AC608" t="s">
        <v>74</v>
      </c>
      <c r="AD608" t="s">
        <v>74</v>
      </c>
      <c r="AE608" t="s">
        <v>74</v>
      </c>
      <c r="AF608" t="s">
        <v>74</v>
      </c>
      <c r="AG608">
        <v>61</v>
      </c>
      <c r="AH608">
        <v>26</v>
      </c>
      <c r="AI608">
        <v>29</v>
      </c>
      <c r="AJ608">
        <v>0</v>
      </c>
      <c r="AK608">
        <v>5</v>
      </c>
      <c r="AL608" t="s">
        <v>8336</v>
      </c>
      <c r="AM608" t="s">
        <v>1101</v>
      </c>
      <c r="AN608" t="s">
        <v>4143</v>
      </c>
      <c r="AO608" t="s">
        <v>8318</v>
      </c>
      <c r="AP608" t="s">
        <v>74</v>
      </c>
      <c r="AQ608" t="s">
        <v>74</v>
      </c>
      <c r="AR608" t="s">
        <v>8319</v>
      </c>
      <c r="AS608" t="s">
        <v>8320</v>
      </c>
      <c r="AT608" t="s">
        <v>8101</v>
      </c>
      <c r="AU608">
        <v>1998</v>
      </c>
      <c r="AV608">
        <v>78</v>
      </c>
      <c r="AW608">
        <v>2</v>
      </c>
      <c r="AX608" t="s">
        <v>74</v>
      </c>
      <c r="AY608" t="s">
        <v>74</v>
      </c>
      <c r="AZ608" t="s">
        <v>74</v>
      </c>
      <c r="BA608" t="s">
        <v>74</v>
      </c>
      <c r="BB608">
        <v>94</v>
      </c>
      <c r="BC608">
        <v>103</v>
      </c>
      <c r="BD608" t="s">
        <v>74</v>
      </c>
      <c r="BE608" t="s">
        <v>8337</v>
      </c>
      <c r="BF608" t="str">
        <f>HYPERLINK("http://dx.doi.org/10.1006/enrs.1998.3849","http://dx.doi.org/10.1006/enrs.1998.3849")</f>
        <v>http://dx.doi.org/10.1006/enrs.1998.3849</v>
      </c>
      <c r="BG608" t="s">
        <v>74</v>
      </c>
      <c r="BH608" t="s">
        <v>74</v>
      </c>
      <c r="BI608">
        <v>10</v>
      </c>
      <c r="BJ608" t="s">
        <v>8322</v>
      </c>
      <c r="BK608" t="s">
        <v>95</v>
      </c>
      <c r="BL608" t="s">
        <v>8323</v>
      </c>
      <c r="BM608" t="s">
        <v>8324</v>
      </c>
      <c r="BN608">
        <v>9719613</v>
      </c>
      <c r="BO608" t="s">
        <v>74</v>
      </c>
      <c r="BP608" t="s">
        <v>74</v>
      </c>
      <c r="BQ608" t="s">
        <v>74</v>
      </c>
      <c r="BR608" t="s">
        <v>98</v>
      </c>
      <c r="BS608" t="s">
        <v>8338</v>
      </c>
      <c r="BT608" t="str">
        <f>HYPERLINK("https%3A%2F%2Fwww.webofscience.com%2Fwos%2Fwoscc%2Ffull-record%2FWOS:000075538200005","View Full Record in Web of Science")</f>
        <v>View Full Record in Web of Science</v>
      </c>
    </row>
    <row r="609" spans="1:72" x14ac:dyDescent="0.15">
      <c r="A609" t="s">
        <v>72</v>
      </c>
      <c r="B609" t="s">
        <v>8339</v>
      </c>
      <c r="C609" t="s">
        <v>74</v>
      </c>
      <c r="D609" t="s">
        <v>74</v>
      </c>
      <c r="E609" t="s">
        <v>74</v>
      </c>
      <c r="F609" t="s">
        <v>8339</v>
      </c>
      <c r="G609" t="s">
        <v>74</v>
      </c>
      <c r="H609" t="s">
        <v>74</v>
      </c>
      <c r="I609" t="s">
        <v>8340</v>
      </c>
      <c r="J609" t="s">
        <v>8313</v>
      </c>
      <c r="K609" t="s">
        <v>74</v>
      </c>
      <c r="L609" t="s">
        <v>74</v>
      </c>
      <c r="M609" t="s">
        <v>77</v>
      </c>
      <c r="N609" t="s">
        <v>103</v>
      </c>
      <c r="O609" t="s">
        <v>74</v>
      </c>
      <c r="P609" t="s">
        <v>74</v>
      </c>
      <c r="Q609" t="s">
        <v>74</v>
      </c>
      <c r="R609" t="s">
        <v>74</v>
      </c>
      <c r="S609" t="s">
        <v>74</v>
      </c>
      <c r="T609" t="s">
        <v>74</v>
      </c>
      <c r="U609" t="s">
        <v>8341</v>
      </c>
      <c r="V609" t="s">
        <v>8342</v>
      </c>
      <c r="W609" t="s">
        <v>8343</v>
      </c>
      <c r="X609" t="s">
        <v>8344</v>
      </c>
      <c r="Y609" t="s">
        <v>8345</v>
      </c>
      <c r="Z609" t="s">
        <v>74</v>
      </c>
      <c r="AA609" t="s">
        <v>74</v>
      </c>
      <c r="AB609" t="s">
        <v>74</v>
      </c>
      <c r="AC609" t="s">
        <v>74</v>
      </c>
      <c r="AD609" t="s">
        <v>74</v>
      </c>
      <c r="AE609" t="s">
        <v>74</v>
      </c>
      <c r="AF609" t="s">
        <v>74</v>
      </c>
      <c r="AG609">
        <v>92</v>
      </c>
      <c r="AH609">
        <v>237</v>
      </c>
      <c r="AI609">
        <v>245</v>
      </c>
      <c r="AJ609">
        <v>0</v>
      </c>
      <c r="AK609">
        <v>49</v>
      </c>
      <c r="AL609" t="s">
        <v>8336</v>
      </c>
      <c r="AM609" t="s">
        <v>1101</v>
      </c>
      <c r="AN609" t="s">
        <v>4143</v>
      </c>
      <c r="AO609" t="s">
        <v>8318</v>
      </c>
      <c r="AP609" t="s">
        <v>8346</v>
      </c>
      <c r="AQ609" t="s">
        <v>74</v>
      </c>
      <c r="AR609" t="s">
        <v>8319</v>
      </c>
      <c r="AS609" t="s">
        <v>8320</v>
      </c>
      <c r="AT609" t="s">
        <v>8101</v>
      </c>
      <c r="AU609">
        <v>1998</v>
      </c>
      <c r="AV609">
        <v>78</v>
      </c>
      <c r="AW609">
        <v>2</v>
      </c>
      <c r="AX609" t="s">
        <v>74</v>
      </c>
      <c r="AY609" t="s">
        <v>74</v>
      </c>
      <c r="AZ609" t="s">
        <v>74</v>
      </c>
      <c r="BA609" t="s">
        <v>74</v>
      </c>
      <c r="BB609">
        <v>118</v>
      </c>
      <c r="BC609">
        <v>133</v>
      </c>
      <c r="BD609" t="s">
        <v>74</v>
      </c>
      <c r="BE609" t="s">
        <v>8347</v>
      </c>
      <c r="BF609" t="str">
        <f>HYPERLINK("http://dx.doi.org/10.1006/enrs.1998.3850","http://dx.doi.org/10.1006/enrs.1998.3850")</f>
        <v>http://dx.doi.org/10.1006/enrs.1998.3850</v>
      </c>
      <c r="BG609" t="s">
        <v>74</v>
      </c>
      <c r="BH609" t="s">
        <v>74</v>
      </c>
      <c r="BI609">
        <v>16</v>
      </c>
      <c r="BJ609" t="s">
        <v>8322</v>
      </c>
      <c r="BK609" t="s">
        <v>95</v>
      </c>
      <c r="BL609" t="s">
        <v>8323</v>
      </c>
      <c r="BM609" t="s">
        <v>8324</v>
      </c>
      <c r="BN609">
        <v>9719616</v>
      </c>
      <c r="BO609" t="s">
        <v>74</v>
      </c>
      <c r="BP609" t="s">
        <v>74</v>
      </c>
      <c r="BQ609" t="s">
        <v>74</v>
      </c>
      <c r="BR609" t="s">
        <v>98</v>
      </c>
      <c r="BS609" t="s">
        <v>8348</v>
      </c>
      <c r="BT609" t="str">
        <f>HYPERLINK("https%3A%2F%2Fwww.webofscience.com%2Fwos%2Fwoscc%2Ffull-record%2FWOS:000075538200008","View Full Record in Web of Science")</f>
        <v>View Full Record in Web of Science</v>
      </c>
    </row>
    <row r="610" spans="1:72" x14ac:dyDescent="0.15">
      <c r="A610" t="s">
        <v>72</v>
      </c>
      <c r="B610" t="s">
        <v>8349</v>
      </c>
      <c r="C610" t="s">
        <v>74</v>
      </c>
      <c r="D610" t="s">
        <v>74</v>
      </c>
      <c r="E610" t="s">
        <v>74</v>
      </c>
      <c r="F610" t="s">
        <v>8349</v>
      </c>
      <c r="G610" t="s">
        <v>74</v>
      </c>
      <c r="H610" t="s">
        <v>74</v>
      </c>
      <c r="I610" t="s">
        <v>8350</v>
      </c>
      <c r="J610" t="s">
        <v>8351</v>
      </c>
      <c r="K610" t="s">
        <v>74</v>
      </c>
      <c r="L610" t="s">
        <v>74</v>
      </c>
      <c r="M610" t="s">
        <v>77</v>
      </c>
      <c r="N610" t="s">
        <v>78</v>
      </c>
      <c r="O610" t="s">
        <v>74</v>
      </c>
      <c r="P610" t="s">
        <v>74</v>
      </c>
      <c r="Q610" t="s">
        <v>74</v>
      </c>
      <c r="R610" t="s">
        <v>74</v>
      </c>
      <c r="S610" t="s">
        <v>74</v>
      </c>
      <c r="T610" t="s">
        <v>8352</v>
      </c>
      <c r="U610" t="s">
        <v>8353</v>
      </c>
      <c r="V610" t="s">
        <v>8354</v>
      </c>
      <c r="W610" t="s">
        <v>8355</v>
      </c>
      <c r="X610" t="s">
        <v>8356</v>
      </c>
      <c r="Y610" t="s">
        <v>8357</v>
      </c>
      <c r="Z610" t="s">
        <v>8358</v>
      </c>
      <c r="AA610" t="s">
        <v>74</v>
      </c>
      <c r="AB610" t="s">
        <v>74</v>
      </c>
      <c r="AC610" t="s">
        <v>74</v>
      </c>
      <c r="AD610" t="s">
        <v>74</v>
      </c>
      <c r="AE610" t="s">
        <v>74</v>
      </c>
      <c r="AF610" t="s">
        <v>74</v>
      </c>
      <c r="AG610">
        <v>44</v>
      </c>
      <c r="AH610">
        <v>30</v>
      </c>
      <c r="AI610">
        <v>32</v>
      </c>
      <c r="AJ610">
        <v>4</v>
      </c>
      <c r="AK610">
        <v>37</v>
      </c>
      <c r="AL610" t="s">
        <v>8359</v>
      </c>
      <c r="AM610" t="s">
        <v>600</v>
      </c>
      <c r="AN610" t="s">
        <v>8360</v>
      </c>
      <c r="AO610" t="s">
        <v>8361</v>
      </c>
      <c r="AP610" t="s">
        <v>74</v>
      </c>
      <c r="AQ610" t="s">
        <v>74</v>
      </c>
      <c r="AR610" t="s">
        <v>8351</v>
      </c>
      <c r="AS610" t="s">
        <v>8362</v>
      </c>
      <c r="AT610" t="s">
        <v>8101</v>
      </c>
      <c r="AU610">
        <v>1998</v>
      </c>
      <c r="AV610">
        <v>2</v>
      </c>
      <c r="AW610">
        <v>3</v>
      </c>
      <c r="AX610" t="s">
        <v>74</v>
      </c>
      <c r="AY610" t="s">
        <v>74</v>
      </c>
      <c r="AZ610" t="s">
        <v>74</v>
      </c>
      <c r="BA610" t="s">
        <v>74</v>
      </c>
      <c r="BB610">
        <v>313</v>
      </c>
      <c r="BC610">
        <v>319</v>
      </c>
      <c r="BD610" t="s">
        <v>74</v>
      </c>
      <c r="BE610" t="s">
        <v>8363</v>
      </c>
      <c r="BF610" t="str">
        <f>HYPERLINK("http://dx.doi.org/10.1007/s007920050074","http://dx.doi.org/10.1007/s007920050074")</f>
        <v>http://dx.doi.org/10.1007/s007920050074</v>
      </c>
      <c r="BG610" t="s">
        <v>74</v>
      </c>
      <c r="BH610" t="s">
        <v>74</v>
      </c>
      <c r="BI610">
        <v>7</v>
      </c>
      <c r="BJ610" t="s">
        <v>8364</v>
      </c>
      <c r="BK610" t="s">
        <v>95</v>
      </c>
      <c r="BL610" t="s">
        <v>8364</v>
      </c>
      <c r="BM610" t="s">
        <v>8365</v>
      </c>
      <c r="BN610">
        <v>9783179</v>
      </c>
      <c r="BO610" t="s">
        <v>74</v>
      </c>
      <c r="BP610" t="s">
        <v>74</v>
      </c>
      <c r="BQ610" t="s">
        <v>74</v>
      </c>
      <c r="BR610" t="s">
        <v>98</v>
      </c>
      <c r="BS610" t="s">
        <v>8366</v>
      </c>
      <c r="BT610" t="str">
        <f>HYPERLINK("https%3A%2F%2Fwww.webofscience.com%2Fwos%2Fwoscc%2Ffull-record%2FWOS:000075633300023","View Full Record in Web of Science")</f>
        <v>View Full Record in Web of Science</v>
      </c>
    </row>
    <row r="611" spans="1:72" x14ac:dyDescent="0.15">
      <c r="A611" t="s">
        <v>72</v>
      </c>
      <c r="B611" t="s">
        <v>8367</v>
      </c>
      <c r="C611" t="s">
        <v>74</v>
      </c>
      <c r="D611" t="s">
        <v>74</v>
      </c>
      <c r="E611" t="s">
        <v>74</v>
      </c>
      <c r="F611" t="s">
        <v>8367</v>
      </c>
      <c r="G611" t="s">
        <v>74</v>
      </c>
      <c r="H611" t="s">
        <v>74</v>
      </c>
      <c r="I611" t="s">
        <v>8368</v>
      </c>
      <c r="J611" t="s">
        <v>8369</v>
      </c>
      <c r="K611" t="s">
        <v>74</v>
      </c>
      <c r="L611" t="s">
        <v>74</v>
      </c>
      <c r="M611" t="s">
        <v>77</v>
      </c>
      <c r="N611" t="s">
        <v>103</v>
      </c>
      <c r="O611" t="s">
        <v>74</v>
      </c>
      <c r="P611" t="s">
        <v>74</v>
      </c>
      <c r="Q611" t="s">
        <v>74</v>
      </c>
      <c r="R611" t="s">
        <v>74</v>
      </c>
      <c r="S611" t="s">
        <v>74</v>
      </c>
      <c r="T611" t="s">
        <v>74</v>
      </c>
      <c r="U611" t="s">
        <v>8370</v>
      </c>
      <c r="V611" t="s">
        <v>8371</v>
      </c>
      <c r="W611" t="s">
        <v>8372</v>
      </c>
      <c r="X611" t="s">
        <v>8373</v>
      </c>
      <c r="Y611" t="s">
        <v>8374</v>
      </c>
      <c r="Z611" t="s">
        <v>8375</v>
      </c>
      <c r="AA611" t="s">
        <v>8376</v>
      </c>
      <c r="AB611" t="s">
        <v>8377</v>
      </c>
      <c r="AC611" t="s">
        <v>74</v>
      </c>
      <c r="AD611" t="s">
        <v>74</v>
      </c>
      <c r="AE611" t="s">
        <v>74</v>
      </c>
      <c r="AF611" t="s">
        <v>74</v>
      </c>
      <c r="AG611">
        <v>81</v>
      </c>
      <c r="AH611">
        <v>95</v>
      </c>
      <c r="AI611">
        <v>114</v>
      </c>
      <c r="AJ611">
        <v>0</v>
      </c>
      <c r="AK611">
        <v>19</v>
      </c>
      <c r="AL611" t="s">
        <v>8378</v>
      </c>
      <c r="AM611" t="s">
        <v>1740</v>
      </c>
      <c r="AN611" t="s">
        <v>8379</v>
      </c>
      <c r="AO611" t="s">
        <v>8380</v>
      </c>
      <c r="AP611" t="s">
        <v>8381</v>
      </c>
      <c r="AQ611" t="s">
        <v>74</v>
      </c>
      <c r="AR611" t="s">
        <v>8369</v>
      </c>
      <c r="AS611" t="s">
        <v>8382</v>
      </c>
      <c r="AT611" t="s">
        <v>8101</v>
      </c>
      <c r="AU611">
        <v>1998</v>
      </c>
      <c r="AV611">
        <v>149</v>
      </c>
      <c r="AW611">
        <v>4</v>
      </c>
      <c r="AX611" t="s">
        <v>74</v>
      </c>
      <c r="AY611" t="s">
        <v>74</v>
      </c>
      <c r="AZ611" t="s">
        <v>74</v>
      </c>
      <c r="BA611" t="s">
        <v>74</v>
      </c>
      <c r="BB611">
        <v>1945</v>
      </c>
      <c r="BC611">
        <v>1957</v>
      </c>
      <c r="BD611" t="s">
        <v>74</v>
      </c>
      <c r="BE611" t="s">
        <v>74</v>
      </c>
      <c r="BF611" t="s">
        <v>74</v>
      </c>
      <c r="BG611" t="s">
        <v>74</v>
      </c>
      <c r="BH611" t="s">
        <v>74</v>
      </c>
      <c r="BI611">
        <v>13</v>
      </c>
      <c r="BJ611" t="s">
        <v>8383</v>
      </c>
      <c r="BK611" t="s">
        <v>95</v>
      </c>
      <c r="BL611" t="s">
        <v>8383</v>
      </c>
      <c r="BM611" t="s">
        <v>8384</v>
      </c>
      <c r="BN611">
        <v>9691049</v>
      </c>
      <c r="BO611" t="s">
        <v>74</v>
      </c>
      <c r="BP611" t="s">
        <v>74</v>
      </c>
      <c r="BQ611" t="s">
        <v>74</v>
      </c>
      <c r="BR611" t="s">
        <v>98</v>
      </c>
      <c r="BS611" t="s">
        <v>8385</v>
      </c>
      <c r="BT611" t="str">
        <f>HYPERLINK("https%3A%2F%2Fwww.webofscience.com%2Fwos%2Fwoscc%2Ffull-record%2FWOS:000075232100026","View Full Record in Web of Science")</f>
        <v>View Full Record in Web of Science</v>
      </c>
    </row>
    <row r="612" spans="1:72" x14ac:dyDescent="0.15">
      <c r="A612" t="s">
        <v>72</v>
      </c>
      <c r="B612" t="s">
        <v>8386</v>
      </c>
      <c r="C612" t="s">
        <v>74</v>
      </c>
      <c r="D612" t="s">
        <v>74</v>
      </c>
      <c r="E612" t="s">
        <v>74</v>
      </c>
      <c r="F612" t="s">
        <v>8386</v>
      </c>
      <c r="G612" t="s">
        <v>74</v>
      </c>
      <c r="H612" t="s">
        <v>74</v>
      </c>
      <c r="I612" t="s">
        <v>8387</v>
      </c>
      <c r="J612" t="s">
        <v>7473</v>
      </c>
      <c r="K612" t="s">
        <v>74</v>
      </c>
      <c r="L612" t="s">
        <v>74</v>
      </c>
      <c r="M612" t="s">
        <v>77</v>
      </c>
      <c r="N612" t="s">
        <v>103</v>
      </c>
      <c r="O612" t="s">
        <v>74</v>
      </c>
      <c r="P612" t="s">
        <v>74</v>
      </c>
      <c r="Q612" t="s">
        <v>74</v>
      </c>
      <c r="R612" t="s">
        <v>74</v>
      </c>
      <c r="S612" t="s">
        <v>74</v>
      </c>
      <c r="T612" t="s">
        <v>74</v>
      </c>
      <c r="U612" t="s">
        <v>8388</v>
      </c>
      <c r="V612" t="s">
        <v>8389</v>
      </c>
      <c r="W612" t="s">
        <v>8390</v>
      </c>
      <c r="X612" t="s">
        <v>8391</v>
      </c>
      <c r="Y612" t="s">
        <v>8392</v>
      </c>
      <c r="Z612" t="s">
        <v>74</v>
      </c>
      <c r="AA612" t="s">
        <v>5869</v>
      </c>
      <c r="AB612" t="s">
        <v>5870</v>
      </c>
      <c r="AC612" t="s">
        <v>74</v>
      </c>
      <c r="AD612" t="s">
        <v>74</v>
      </c>
      <c r="AE612" t="s">
        <v>74</v>
      </c>
      <c r="AF612" t="s">
        <v>74</v>
      </c>
      <c r="AG612">
        <v>40</v>
      </c>
      <c r="AH612">
        <v>109</v>
      </c>
      <c r="AI612">
        <v>120</v>
      </c>
      <c r="AJ612">
        <v>2</v>
      </c>
      <c r="AK612">
        <v>25</v>
      </c>
      <c r="AL612" t="s">
        <v>445</v>
      </c>
      <c r="AM612" t="s">
        <v>229</v>
      </c>
      <c r="AN612" t="s">
        <v>446</v>
      </c>
      <c r="AO612" t="s">
        <v>7481</v>
      </c>
      <c r="AP612" t="s">
        <v>74</v>
      </c>
      <c r="AQ612" t="s">
        <v>74</v>
      </c>
      <c r="AR612" t="s">
        <v>7482</v>
      </c>
      <c r="AS612" t="s">
        <v>7483</v>
      </c>
      <c r="AT612" t="s">
        <v>8101</v>
      </c>
      <c r="AU612">
        <v>1998</v>
      </c>
      <c r="AV612">
        <v>62</v>
      </c>
      <c r="AW612">
        <v>15</v>
      </c>
      <c r="AX612" t="s">
        <v>74</v>
      </c>
      <c r="AY612" t="s">
        <v>74</v>
      </c>
      <c r="AZ612" t="s">
        <v>74</v>
      </c>
      <c r="BA612" t="s">
        <v>74</v>
      </c>
      <c r="BB612">
        <v>2597</v>
      </c>
      <c r="BC612">
        <v>2607</v>
      </c>
      <c r="BD612" t="s">
        <v>74</v>
      </c>
      <c r="BE612" t="s">
        <v>8393</v>
      </c>
      <c r="BF612" t="str">
        <f>HYPERLINK("http://dx.doi.org/10.1016/S0016-7037(98)00169-0","http://dx.doi.org/10.1016/S0016-7037(98)00169-0")</f>
        <v>http://dx.doi.org/10.1016/S0016-7037(98)00169-0</v>
      </c>
      <c r="BG612" t="s">
        <v>74</v>
      </c>
      <c r="BH612" t="s">
        <v>74</v>
      </c>
      <c r="BI612">
        <v>11</v>
      </c>
      <c r="BJ612" t="s">
        <v>303</v>
      </c>
      <c r="BK612" t="s">
        <v>95</v>
      </c>
      <c r="BL612" t="s">
        <v>303</v>
      </c>
      <c r="BM612" t="s">
        <v>8394</v>
      </c>
      <c r="BN612" t="s">
        <v>74</v>
      </c>
      <c r="BO612" t="s">
        <v>74</v>
      </c>
      <c r="BP612" t="s">
        <v>74</v>
      </c>
      <c r="BQ612" t="s">
        <v>74</v>
      </c>
      <c r="BR612" t="s">
        <v>98</v>
      </c>
      <c r="BS612" t="s">
        <v>8395</v>
      </c>
      <c r="BT612" t="str">
        <f>HYPERLINK("https%3A%2F%2Fwww.webofscience.com%2Fwos%2Fwoscc%2Ffull-record%2FWOS:000076900900002","View Full Record in Web of Science")</f>
        <v>View Full Record in Web of Science</v>
      </c>
    </row>
    <row r="613" spans="1:72" x14ac:dyDescent="0.15">
      <c r="A613" t="s">
        <v>72</v>
      </c>
      <c r="B613" t="s">
        <v>8396</v>
      </c>
      <c r="C613" t="s">
        <v>74</v>
      </c>
      <c r="D613" t="s">
        <v>74</v>
      </c>
      <c r="E613" t="s">
        <v>74</v>
      </c>
      <c r="F613" t="s">
        <v>8396</v>
      </c>
      <c r="G613" t="s">
        <v>74</v>
      </c>
      <c r="H613" t="s">
        <v>74</v>
      </c>
      <c r="I613" t="s">
        <v>8397</v>
      </c>
      <c r="J613" t="s">
        <v>7473</v>
      </c>
      <c r="K613" t="s">
        <v>74</v>
      </c>
      <c r="L613" t="s">
        <v>74</v>
      </c>
      <c r="M613" t="s">
        <v>77</v>
      </c>
      <c r="N613" t="s">
        <v>103</v>
      </c>
      <c r="O613" t="s">
        <v>74</v>
      </c>
      <c r="P613" t="s">
        <v>74</v>
      </c>
      <c r="Q613" t="s">
        <v>74</v>
      </c>
      <c r="R613" t="s">
        <v>74</v>
      </c>
      <c r="S613" t="s">
        <v>74</v>
      </c>
      <c r="T613" t="s">
        <v>74</v>
      </c>
      <c r="U613" t="s">
        <v>8398</v>
      </c>
      <c r="V613" t="s">
        <v>8399</v>
      </c>
      <c r="W613" t="s">
        <v>8400</v>
      </c>
      <c r="X613" t="s">
        <v>8401</v>
      </c>
      <c r="Y613" t="s">
        <v>8402</v>
      </c>
      <c r="Z613" t="s">
        <v>8403</v>
      </c>
      <c r="AA613" t="s">
        <v>74</v>
      </c>
      <c r="AB613" t="s">
        <v>8404</v>
      </c>
      <c r="AC613" t="s">
        <v>74</v>
      </c>
      <c r="AD613" t="s">
        <v>74</v>
      </c>
      <c r="AE613" t="s">
        <v>74</v>
      </c>
      <c r="AF613" t="s">
        <v>74</v>
      </c>
      <c r="AG613">
        <v>90</v>
      </c>
      <c r="AH613">
        <v>58</v>
      </c>
      <c r="AI613">
        <v>62</v>
      </c>
      <c r="AJ613">
        <v>0</v>
      </c>
      <c r="AK613">
        <v>7</v>
      </c>
      <c r="AL613" t="s">
        <v>445</v>
      </c>
      <c r="AM613" t="s">
        <v>229</v>
      </c>
      <c r="AN613" t="s">
        <v>446</v>
      </c>
      <c r="AO613" t="s">
        <v>7481</v>
      </c>
      <c r="AP613" t="s">
        <v>8405</v>
      </c>
      <c r="AQ613" t="s">
        <v>74</v>
      </c>
      <c r="AR613" t="s">
        <v>7482</v>
      </c>
      <c r="AS613" t="s">
        <v>7483</v>
      </c>
      <c r="AT613" t="s">
        <v>8101</v>
      </c>
      <c r="AU613">
        <v>1998</v>
      </c>
      <c r="AV613">
        <v>62</v>
      </c>
      <c r="AW613">
        <v>15</v>
      </c>
      <c r="AX613" t="s">
        <v>74</v>
      </c>
      <c r="AY613" t="s">
        <v>74</v>
      </c>
      <c r="AZ613" t="s">
        <v>74</v>
      </c>
      <c r="BA613" t="s">
        <v>74</v>
      </c>
      <c r="BB613">
        <v>2701</v>
      </c>
      <c r="BC613">
        <v>2714</v>
      </c>
      <c r="BD613" t="s">
        <v>74</v>
      </c>
      <c r="BE613" t="s">
        <v>8406</v>
      </c>
      <c r="BF613" t="str">
        <f>HYPERLINK("http://dx.doi.org/10.1016/S0016-7037(98)00184-7","http://dx.doi.org/10.1016/S0016-7037(98)00184-7")</f>
        <v>http://dx.doi.org/10.1016/S0016-7037(98)00184-7</v>
      </c>
      <c r="BG613" t="s">
        <v>74</v>
      </c>
      <c r="BH613" t="s">
        <v>74</v>
      </c>
      <c r="BI613">
        <v>14</v>
      </c>
      <c r="BJ613" t="s">
        <v>303</v>
      </c>
      <c r="BK613" t="s">
        <v>95</v>
      </c>
      <c r="BL613" t="s">
        <v>303</v>
      </c>
      <c r="BM613" t="s">
        <v>8394</v>
      </c>
      <c r="BN613" t="s">
        <v>74</v>
      </c>
      <c r="BO613" t="s">
        <v>74</v>
      </c>
      <c r="BP613" t="s">
        <v>74</v>
      </c>
      <c r="BQ613" t="s">
        <v>74</v>
      </c>
      <c r="BR613" t="s">
        <v>98</v>
      </c>
      <c r="BS613" t="s">
        <v>8407</v>
      </c>
      <c r="BT613" t="str">
        <f>HYPERLINK("https%3A%2F%2Fwww.webofscience.com%2Fwos%2Fwoscc%2Ffull-record%2FWOS:000076900900009","View Full Record in Web of Science")</f>
        <v>View Full Record in Web of Science</v>
      </c>
    </row>
    <row r="614" spans="1:72" x14ac:dyDescent="0.15">
      <c r="A614" t="s">
        <v>72</v>
      </c>
      <c r="B614" t="s">
        <v>8408</v>
      </c>
      <c r="C614" t="s">
        <v>74</v>
      </c>
      <c r="D614" t="s">
        <v>74</v>
      </c>
      <c r="E614" t="s">
        <v>74</v>
      </c>
      <c r="F614" t="s">
        <v>8408</v>
      </c>
      <c r="G614" t="s">
        <v>74</v>
      </c>
      <c r="H614" t="s">
        <v>74</v>
      </c>
      <c r="I614" t="s">
        <v>8409</v>
      </c>
      <c r="J614" t="s">
        <v>5218</v>
      </c>
      <c r="K614" t="s">
        <v>74</v>
      </c>
      <c r="L614" t="s">
        <v>74</v>
      </c>
      <c r="M614" t="s">
        <v>77</v>
      </c>
      <c r="N614" t="s">
        <v>103</v>
      </c>
      <c r="O614" t="s">
        <v>74</v>
      </c>
      <c r="P614" t="s">
        <v>74</v>
      </c>
      <c r="Q614" t="s">
        <v>74</v>
      </c>
      <c r="R614" t="s">
        <v>74</v>
      </c>
      <c r="S614" t="s">
        <v>74</v>
      </c>
      <c r="T614" t="s">
        <v>74</v>
      </c>
      <c r="U614" t="s">
        <v>8410</v>
      </c>
      <c r="V614" t="s">
        <v>8411</v>
      </c>
      <c r="W614" t="s">
        <v>8412</v>
      </c>
      <c r="X614" t="s">
        <v>8413</v>
      </c>
      <c r="Y614" t="s">
        <v>8414</v>
      </c>
      <c r="Z614" t="s">
        <v>74</v>
      </c>
      <c r="AA614" t="s">
        <v>8415</v>
      </c>
      <c r="AB614" t="s">
        <v>74</v>
      </c>
      <c r="AC614" t="s">
        <v>74</v>
      </c>
      <c r="AD614" t="s">
        <v>74</v>
      </c>
      <c r="AE614" t="s">
        <v>74</v>
      </c>
      <c r="AF614" t="s">
        <v>74</v>
      </c>
      <c r="AG614">
        <v>20</v>
      </c>
      <c r="AH614">
        <v>217</v>
      </c>
      <c r="AI614">
        <v>248</v>
      </c>
      <c r="AJ614">
        <v>0</v>
      </c>
      <c r="AK614">
        <v>22</v>
      </c>
      <c r="AL614" t="s">
        <v>8416</v>
      </c>
      <c r="AM614" t="s">
        <v>1021</v>
      </c>
      <c r="AN614" t="s">
        <v>8417</v>
      </c>
      <c r="AO614" t="s">
        <v>5224</v>
      </c>
      <c r="AP614" t="s">
        <v>8418</v>
      </c>
      <c r="AQ614" t="s">
        <v>74</v>
      </c>
      <c r="AR614" t="s">
        <v>5218</v>
      </c>
      <c r="AS614" t="s">
        <v>193</v>
      </c>
      <c r="AT614" t="s">
        <v>8101</v>
      </c>
      <c r="AU614">
        <v>1998</v>
      </c>
      <c r="AV614">
        <v>26</v>
      </c>
      <c r="AW614">
        <v>8</v>
      </c>
      <c r="AX614" t="s">
        <v>74</v>
      </c>
      <c r="AY614" t="s">
        <v>74</v>
      </c>
      <c r="AZ614" t="s">
        <v>74</v>
      </c>
      <c r="BA614" t="s">
        <v>74</v>
      </c>
      <c r="BB614">
        <v>707</v>
      </c>
      <c r="BC614">
        <v>710</v>
      </c>
      <c r="BD614" t="s">
        <v>74</v>
      </c>
      <c r="BE614" t="s">
        <v>8419</v>
      </c>
      <c r="BF614" t="str">
        <f>HYPERLINK("http://dx.doi.org/10.1130/0091-7613(1998)026&lt;0707:EEOTPA&gt;2.3.CO;2","http://dx.doi.org/10.1130/0091-7613(1998)026&lt;0707:EEOTPA&gt;2.3.CO;2")</f>
        <v>http://dx.doi.org/10.1130/0091-7613(1998)026&lt;0707:EEOTPA&gt;2.3.CO;2</v>
      </c>
      <c r="BG614" t="s">
        <v>74</v>
      </c>
      <c r="BH614" t="s">
        <v>74</v>
      </c>
      <c r="BI614">
        <v>4</v>
      </c>
      <c r="BJ614" t="s">
        <v>193</v>
      </c>
      <c r="BK614" t="s">
        <v>95</v>
      </c>
      <c r="BL614" t="s">
        <v>193</v>
      </c>
      <c r="BM614" t="s">
        <v>8420</v>
      </c>
      <c r="BN614" t="s">
        <v>74</v>
      </c>
      <c r="BO614" t="s">
        <v>1005</v>
      </c>
      <c r="BP614" t="s">
        <v>74</v>
      </c>
      <c r="BQ614" t="s">
        <v>74</v>
      </c>
      <c r="BR614" t="s">
        <v>98</v>
      </c>
      <c r="BS614" t="s">
        <v>8421</v>
      </c>
      <c r="BT614" t="str">
        <f>HYPERLINK("https%3A%2F%2Fwww.webofscience.com%2Fwos%2Fwoscc%2Ffull-record%2FWOS:000075317700009","View Full Record in Web of Science")</f>
        <v>View Full Record in Web of Science</v>
      </c>
    </row>
    <row r="615" spans="1:72" x14ac:dyDescent="0.15">
      <c r="A615" t="s">
        <v>72</v>
      </c>
      <c r="B615" t="s">
        <v>8422</v>
      </c>
      <c r="C615" t="s">
        <v>74</v>
      </c>
      <c r="D615" t="s">
        <v>74</v>
      </c>
      <c r="E615" t="s">
        <v>74</v>
      </c>
      <c r="F615" t="s">
        <v>8422</v>
      </c>
      <c r="G615" t="s">
        <v>74</v>
      </c>
      <c r="H615" t="s">
        <v>74</v>
      </c>
      <c r="I615" t="s">
        <v>8423</v>
      </c>
      <c r="J615" t="s">
        <v>958</v>
      </c>
      <c r="K615" t="s">
        <v>74</v>
      </c>
      <c r="L615" t="s">
        <v>74</v>
      </c>
      <c r="M615" t="s">
        <v>77</v>
      </c>
      <c r="N615" t="s">
        <v>103</v>
      </c>
      <c r="O615" t="s">
        <v>74</v>
      </c>
      <c r="P615" t="s">
        <v>74</v>
      </c>
      <c r="Q615" t="s">
        <v>74</v>
      </c>
      <c r="R615" t="s">
        <v>74</v>
      </c>
      <c r="S615" t="s">
        <v>74</v>
      </c>
      <c r="T615" t="s">
        <v>74</v>
      </c>
      <c r="U615" t="s">
        <v>8424</v>
      </c>
      <c r="V615" t="s">
        <v>8425</v>
      </c>
      <c r="W615" t="s">
        <v>8426</v>
      </c>
      <c r="X615" t="s">
        <v>8427</v>
      </c>
      <c r="Y615" t="s">
        <v>6898</v>
      </c>
      <c r="Z615" t="s">
        <v>74</v>
      </c>
      <c r="AA615" t="s">
        <v>8428</v>
      </c>
      <c r="AB615" t="s">
        <v>8429</v>
      </c>
      <c r="AC615" t="s">
        <v>74</v>
      </c>
      <c r="AD615" t="s">
        <v>74</v>
      </c>
      <c r="AE615" t="s">
        <v>74</v>
      </c>
      <c r="AF615" t="s">
        <v>74</v>
      </c>
      <c r="AG615">
        <v>14</v>
      </c>
      <c r="AH615">
        <v>76</v>
      </c>
      <c r="AI615">
        <v>83</v>
      </c>
      <c r="AJ615">
        <v>1</v>
      </c>
      <c r="AK615">
        <v>9</v>
      </c>
      <c r="AL615" t="s">
        <v>966</v>
      </c>
      <c r="AM615" t="s">
        <v>967</v>
      </c>
      <c r="AN615" t="s">
        <v>968</v>
      </c>
      <c r="AO615" t="s">
        <v>969</v>
      </c>
      <c r="AP615" t="s">
        <v>74</v>
      </c>
      <c r="AQ615" t="s">
        <v>74</v>
      </c>
      <c r="AR615" t="s">
        <v>970</v>
      </c>
      <c r="AS615" t="s">
        <v>971</v>
      </c>
      <c r="AT615" t="s">
        <v>8430</v>
      </c>
      <c r="AU615">
        <v>1998</v>
      </c>
      <c r="AV615">
        <v>25</v>
      </c>
      <c r="AW615">
        <v>15</v>
      </c>
      <c r="AX615" t="s">
        <v>74</v>
      </c>
      <c r="AY615" t="s">
        <v>74</v>
      </c>
      <c r="AZ615" t="s">
        <v>74</v>
      </c>
      <c r="BA615" t="s">
        <v>74</v>
      </c>
      <c r="BB615">
        <v>2845</v>
      </c>
      <c r="BC615">
        <v>2848</v>
      </c>
      <c r="BD615" t="s">
        <v>74</v>
      </c>
      <c r="BE615" t="s">
        <v>8431</v>
      </c>
      <c r="BF615" t="str">
        <f>HYPERLINK("http://dx.doi.org/10.1029/98GL02178","http://dx.doi.org/10.1029/98GL02178")</f>
        <v>http://dx.doi.org/10.1029/98GL02178</v>
      </c>
      <c r="BG615" t="s">
        <v>74</v>
      </c>
      <c r="BH615" t="s">
        <v>74</v>
      </c>
      <c r="BI615">
        <v>4</v>
      </c>
      <c r="BJ615" t="s">
        <v>192</v>
      </c>
      <c r="BK615" t="s">
        <v>95</v>
      </c>
      <c r="BL615" t="s">
        <v>193</v>
      </c>
      <c r="BM615" t="s">
        <v>8432</v>
      </c>
      <c r="BN615" t="s">
        <v>74</v>
      </c>
      <c r="BO615" t="s">
        <v>1089</v>
      </c>
      <c r="BP615" t="s">
        <v>74</v>
      </c>
      <c r="BQ615" t="s">
        <v>74</v>
      </c>
      <c r="BR615" t="s">
        <v>98</v>
      </c>
      <c r="BS615" t="s">
        <v>8433</v>
      </c>
      <c r="BT615" t="str">
        <f>HYPERLINK("https%3A%2F%2Fwww.webofscience.com%2Fwos%2Fwoscc%2Ffull-record%2FWOS:000075289900022","View Full Record in Web of Science")</f>
        <v>View Full Record in Web of Science</v>
      </c>
    </row>
    <row r="616" spans="1:72" x14ac:dyDescent="0.15">
      <c r="A616" t="s">
        <v>72</v>
      </c>
      <c r="B616" t="s">
        <v>8434</v>
      </c>
      <c r="C616" t="s">
        <v>74</v>
      </c>
      <c r="D616" t="s">
        <v>74</v>
      </c>
      <c r="E616" t="s">
        <v>74</v>
      </c>
      <c r="F616" t="s">
        <v>8434</v>
      </c>
      <c r="G616" t="s">
        <v>74</v>
      </c>
      <c r="H616" t="s">
        <v>74</v>
      </c>
      <c r="I616" t="s">
        <v>8435</v>
      </c>
      <c r="J616" t="s">
        <v>958</v>
      </c>
      <c r="K616" t="s">
        <v>74</v>
      </c>
      <c r="L616" t="s">
        <v>74</v>
      </c>
      <c r="M616" t="s">
        <v>77</v>
      </c>
      <c r="N616" t="s">
        <v>103</v>
      </c>
      <c r="O616" t="s">
        <v>74</v>
      </c>
      <c r="P616" t="s">
        <v>74</v>
      </c>
      <c r="Q616" t="s">
        <v>74</v>
      </c>
      <c r="R616" t="s">
        <v>74</v>
      </c>
      <c r="S616" t="s">
        <v>74</v>
      </c>
      <c r="T616" t="s">
        <v>74</v>
      </c>
      <c r="U616" t="s">
        <v>8436</v>
      </c>
      <c r="V616" t="s">
        <v>8437</v>
      </c>
      <c r="W616" t="s">
        <v>8438</v>
      </c>
      <c r="X616" t="s">
        <v>8439</v>
      </c>
      <c r="Y616" t="s">
        <v>8440</v>
      </c>
      <c r="Z616" t="s">
        <v>74</v>
      </c>
      <c r="AA616" t="s">
        <v>8441</v>
      </c>
      <c r="AB616" t="s">
        <v>8442</v>
      </c>
      <c r="AC616" t="s">
        <v>74</v>
      </c>
      <c r="AD616" t="s">
        <v>74</v>
      </c>
      <c r="AE616" t="s">
        <v>74</v>
      </c>
      <c r="AF616" t="s">
        <v>74</v>
      </c>
      <c r="AG616">
        <v>17</v>
      </c>
      <c r="AH616">
        <v>524</v>
      </c>
      <c r="AI616">
        <v>558</v>
      </c>
      <c r="AJ616">
        <v>0</v>
      </c>
      <c r="AK616">
        <v>16</v>
      </c>
      <c r="AL616" t="s">
        <v>966</v>
      </c>
      <c r="AM616" t="s">
        <v>967</v>
      </c>
      <c r="AN616" t="s">
        <v>968</v>
      </c>
      <c r="AO616" t="s">
        <v>969</v>
      </c>
      <c r="AP616" t="s">
        <v>74</v>
      </c>
      <c r="AQ616" t="s">
        <v>74</v>
      </c>
      <c r="AR616" t="s">
        <v>970</v>
      </c>
      <c r="AS616" t="s">
        <v>971</v>
      </c>
      <c r="AT616" t="s">
        <v>8430</v>
      </c>
      <c r="AU616">
        <v>1998</v>
      </c>
      <c r="AV616">
        <v>25</v>
      </c>
      <c r="AW616">
        <v>15</v>
      </c>
      <c r="AX616" t="s">
        <v>74</v>
      </c>
      <c r="AY616" t="s">
        <v>74</v>
      </c>
      <c r="AZ616" t="s">
        <v>74</v>
      </c>
      <c r="BA616" t="s">
        <v>74</v>
      </c>
      <c r="BB616">
        <v>3011</v>
      </c>
      <c r="BC616">
        <v>3014</v>
      </c>
      <c r="BD616" t="s">
        <v>74</v>
      </c>
      <c r="BE616" t="s">
        <v>8443</v>
      </c>
      <c r="BF616" t="str">
        <f>HYPERLINK("http://dx.doi.org/10.1029/98GL01002","http://dx.doi.org/10.1029/98GL01002")</f>
        <v>http://dx.doi.org/10.1029/98GL01002</v>
      </c>
      <c r="BG616" t="s">
        <v>74</v>
      </c>
      <c r="BH616" t="s">
        <v>74</v>
      </c>
      <c r="BI616">
        <v>4</v>
      </c>
      <c r="BJ616" t="s">
        <v>192</v>
      </c>
      <c r="BK616" t="s">
        <v>95</v>
      </c>
      <c r="BL616" t="s">
        <v>193</v>
      </c>
      <c r="BM616" t="s">
        <v>8432</v>
      </c>
      <c r="BN616" t="s">
        <v>74</v>
      </c>
      <c r="BO616" t="s">
        <v>1089</v>
      </c>
      <c r="BP616" t="s">
        <v>74</v>
      </c>
      <c r="BQ616" t="s">
        <v>74</v>
      </c>
      <c r="BR616" t="s">
        <v>98</v>
      </c>
      <c r="BS616" t="s">
        <v>8444</v>
      </c>
      <c r="BT616" t="str">
        <f>HYPERLINK("https%3A%2F%2Fwww.webofscience.com%2Fwos%2Fwoscc%2Ffull-record%2FWOS:000075289900064","View Full Record in Web of Science")</f>
        <v>View Full Record in Web of Science</v>
      </c>
    </row>
    <row r="617" spans="1:72" x14ac:dyDescent="0.15">
      <c r="A617" t="s">
        <v>72</v>
      </c>
      <c r="B617" t="s">
        <v>8445</v>
      </c>
      <c r="C617" t="s">
        <v>74</v>
      </c>
      <c r="D617" t="s">
        <v>74</v>
      </c>
      <c r="E617" t="s">
        <v>74</v>
      </c>
      <c r="F617" t="s">
        <v>8445</v>
      </c>
      <c r="G617" t="s">
        <v>74</v>
      </c>
      <c r="H617" t="s">
        <v>74</v>
      </c>
      <c r="I617" t="s">
        <v>8446</v>
      </c>
      <c r="J617" t="s">
        <v>8447</v>
      </c>
      <c r="K617" t="s">
        <v>74</v>
      </c>
      <c r="L617" t="s">
        <v>74</v>
      </c>
      <c r="M617" t="s">
        <v>77</v>
      </c>
      <c r="N617" t="s">
        <v>103</v>
      </c>
      <c r="O617" t="s">
        <v>74</v>
      </c>
      <c r="P617" t="s">
        <v>74</v>
      </c>
      <c r="Q617" t="s">
        <v>74</v>
      </c>
      <c r="R617" t="s">
        <v>74</v>
      </c>
      <c r="S617" t="s">
        <v>74</v>
      </c>
      <c r="T617" t="s">
        <v>8448</v>
      </c>
      <c r="U617" t="s">
        <v>8449</v>
      </c>
      <c r="V617" t="s">
        <v>8450</v>
      </c>
      <c r="W617" t="s">
        <v>8451</v>
      </c>
      <c r="X617" t="s">
        <v>8452</v>
      </c>
      <c r="Y617" t="s">
        <v>8453</v>
      </c>
      <c r="Z617" t="s">
        <v>74</v>
      </c>
      <c r="AA617" t="s">
        <v>74</v>
      </c>
      <c r="AB617" t="s">
        <v>74</v>
      </c>
      <c r="AC617" t="s">
        <v>74</v>
      </c>
      <c r="AD617" t="s">
        <v>74</v>
      </c>
      <c r="AE617" t="s">
        <v>74</v>
      </c>
      <c r="AF617" t="s">
        <v>74</v>
      </c>
      <c r="AG617">
        <v>20</v>
      </c>
      <c r="AH617">
        <v>11</v>
      </c>
      <c r="AI617">
        <v>11</v>
      </c>
      <c r="AJ617">
        <v>0</v>
      </c>
      <c r="AK617">
        <v>1</v>
      </c>
      <c r="AL617" t="s">
        <v>887</v>
      </c>
      <c r="AM617" t="s">
        <v>278</v>
      </c>
      <c r="AN617" t="s">
        <v>888</v>
      </c>
      <c r="AO617" t="s">
        <v>8454</v>
      </c>
      <c r="AP617" t="s">
        <v>74</v>
      </c>
      <c r="AQ617" t="s">
        <v>74</v>
      </c>
      <c r="AR617" t="s">
        <v>8455</v>
      </c>
      <c r="AS617" t="s">
        <v>8456</v>
      </c>
      <c r="AT617" t="s">
        <v>8101</v>
      </c>
      <c r="AU617">
        <v>1998</v>
      </c>
      <c r="AV617">
        <v>42</v>
      </c>
      <c r="AW617">
        <v>1</v>
      </c>
      <c r="AX617" t="s">
        <v>74</v>
      </c>
      <c r="AY617" t="s">
        <v>74</v>
      </c>
      <c r="AZ617" t="s">
        <v>74</v>
      </c>
      <c r="BA617" t="s">
        <v>74</v>
      </c>
      <c r="BB617">
        <v>51</v>
      </c>
      <c r="BC617">
        <v>54</v>
      </c>
      <c r="BD617" t="s">
        <v>74</v>
      </c>
      <c r="BE617" t="s">
        <v>8457</v>
      </c>
      <c r="BF617" t="str">
        <f>HYPERLINK("http://dx.doi.org/10.1007/s004840050083","http://dx.doi.org/10.1007/s004840050083")</f>
        <v>http://dx.doi.org/10.1007/s004840050083</v>
      </c>
      <c r="BG617" t="s">
        <v>74</v>
      </c>
      <c r="BH617" t="s">
        <v>74</v>
      </c>
      <c r="BI617">
        <v>4</v>
      </c>
      <c r="BJ617" t="s">
        <v>8458</v>
      </c>
      <c r="BK617" t="s">
        <v>95</v>
      </c>
      <c r="BL617" t="s">
        <v>8459</v>
      </c>
      <c r="BM617" t="s">
        <v>8460</v>
      </c>
      <c r="BN617">
        <v>9780846</v>
      </c>
      <c r="BO617" t="s">
        <v>74</v>
      </c>
      <c r="BP617" t="s">
        <v>74</v>
      </c>
      <c r="BQ617" t="s">
        <v>74</v>
      </c>
      <c r="BR617" t="s">
        <v>98</v>
      </c>
      <c r="BS617" t="s">
        <v>8461</v>
      </c>
      <c r="BT617" t="str">
        <f>HYPERLINK("https%3A%2F%2Fwww.webofscience.com%2Fwos%2Fwoscc%2Ffull-record%2FWOS:000076128000009","View Full Record in Web of Science")</f>
        <v>View Full Record in Web of Science</v>
      </c>
    </row>
    <row r="618" spans="1:72" x14ac:dyDescent="0.15">
      <c r="A618" t="s">
        <v>72</v>
      </c>
      <c r="B618" t="s">
        <v>8462</v>
      </c>
      <c r="C618" t="s">
        <v>74</v>
      </c>
      <c r="D618" t="s">
        <v>74</v>
      </c>
      <c r="E618" t="s">
        <v>74</v>
      </c>
      <c r="F618" t="s">
        <v>8462</v>
      </c>
      <c r="G618" t="s">
        <v>74</v>
      </c>
      <c r="H618" t="s">
        <v>74</v>
      </c>
      <c r="I618" t="s">
        <v>8463</v>
      </c>
      <c r="J618" t="s">
        <v>8464</v>
      </c>
      <c r="K618" t="s">
        <v>74</v>
      </c>
      <c r="L618" t="s">
        <v>74</v>
      </c>
      <c r="M618" t="s">
        <v>77</v>
      </c>
      <c r="N618" t="s">
        <v>103</v>
      </c>
      <c r="O618" t="s">
        <v>74</v>
      </c>
      <c r="P618" t="s">
        <v>74</v>
      </c>
      <c r="Q618" t="s">
        <v>74</v>
      </c>
      <c r="R618" t="s">
        <v>74</v>
      </c>
      <c r="S618" t="s">
        <v>74</v>
      </c>
      <c r="T618" t="s">
        <v>74</v>
      </c>
      <c r="U618" t="s">
        <v>8465</v>
      </c>
      <c r="V618" t="s">
        <v>8466</v>
      </c>
      <c r="W618" t="s">
        <v>8467</v>
      </c>
      <c r="X618" t="s">
        <v>577</v>
      </c>
      <c r="Y618" t="s">
        <v>8468</v>
      </c>
      <c r="Z618" t="s">
        <v>74</v>
      </c>
      <c r="AA618" t="s">
        <v>8469</v>
      </c>
      <c r="AB618" t="s">
        <v>8470</v>
      </c>
      <c r="AC618" t="s">
        <v>74</v>
      </c>
      <c r="AD618" t="s">
        <v>74</v>
      </c>
      <c r="AE618" t="s">
        <v>74</v>
      </c>
      <c r="AF618" t="s">
        <v>74</v>
      </c>
      <c r="AG618">
        <v>11</v>
      </c>
      <c r="AH618">
        <v>4</v>
      </c>
      <c r="AI618">
        <v>4</v>
      </c>
      <c r="AJ618">
        <v>0</v>
      </c>
      <c r="AK618">
        <v>1</v>
      </c>
      <c r="AL618" t="s">
        <v>445</v>
      </c>
      <c r="AM618" t="s">
        <v>229</v>
      </c>
      <c r="AN618" t="s">
        <v>446</v>
      </c>
      <c r="AO618" t="s">
        <v>8471</v>
      </c>
      <c r="AP618" t="s">
        <v>74</v>
      </c>
      <c r="AQ618" t="s">
        <v>74</v>
      </c>
      <c r="AR618" t="s">
        <v>8472</v>
      </c>
      <c r="AS618" t="s">
        <v>8473</v>
      </c>
      <c r="AT618" t="s">
        <v>8101</v>
      </c>
      <c r="AU618">
        <v>1998</v>
      </c>
      <c r="AV618">
        <v>60</v>
      </c>
      <c r="AW618">
        <v>12</v>
      </c>
      <c r="AX618" t="s">
        <v>74</v>
      </c>
      <c r="AY618" t="s">
        <v>74</v>
      </c>
      <c r="AZ618" t="s">
        <v>74</v>
      </c>
      <c r="BA618" t="s">
        <v>74</v>
      </c>
      <c r="BB618">
        <v>1225</v>
      </c>
      <c r="BC618">
        <v>1232</v>
      </c>
      <c r="BD618" t="s">
        <v>74</v>
      </c>
      <c r="BE618" t="s">
        <v>8474</v>
      </c>
      <c r="BF618" t="str">
        <f>HYPERLINK("http://dx.doi.org/10.1016/S1364-6826(98)00050-9","http://dx.doi.org/10.1016/S1364-6826(98)00050-9")</f>
        <v>http://dx.doi.org/10.1016/S1364-6826(98)00050-9</v>
      </c>
      <c r="BG618" t="s">
        <v>74</v>
      </c>
      <c r="BH618" t="s">
        <v>74</v>
      </c>
      <c r="BI618">
        <v>8</v>
      </c>
      <c r="BJ618" t="s">
        <v>8475</v>
      </c>
      <c r="BK618" t="s">
        <v>95</v>
      </c>
      <c r="BL618" t="s">
        <v>8475</v>
      </c>
      <c r="BM618" t="s">
        <v>8476</v>
      </c>
      <c r="BN618" t="s">
        <v>74</v>
      </c>
      <c r="BO618" t="s">
        <v>74</v>
      </c>
      <c r="BP618" t="s">
        <v>74</v>
      </c>
      <c r="BQ618" t="s">
        <v>74</v>
      </c>
      <c r="BR618" t="s">
        <v>98</v>
      </c>
      <c r="BS618" t="s">
        <v>8477</v>
      </c>
      <c r="BT618" t="str">
        <f>HYPERLINK("https%3A%2F%2Fwww.webofscience.com%2Fwos%2Fwoscc%2Ffull-record%2FWOS:000077121000005","View Full Record in Web of Science")</f>
        <v>View Full Record in Web of Science</v>
      </c>
    </row>
    <row r="619" spans="1:72" x14ac:dyDescent="0.15">
      <c r="A619" t="s">
        <v>72</v>
      </c>
      <c r="B619" t="s">
        <v>8478</v>
      </c>
      <c r="C619" t="s">
        <v>74</v>
      </c>
      <c r="D619" t="s">
        <v>74</v>
      </c>
      <c r="E619" t="s">
        <v>74</v>
      </c>
      <c r="F619" t="s">
        <v>8478</v>
      </c>
      <c r="G619" t="s">
        <v>74</v>
      </c>
      <c r="H619" t="s">
        <v>74</v>
      </c>
      <c r="I619" t="s">
        <v>8479</v>
      </c>
      <c r="J619" t="s">
        <v>1450</v>
      </c>
      <c r="K619" t="s">
        <v>74</v>
      </c>
      <c r="L619" t="s">
        <v>74</v>
      </c>
      <c r="M619" t="s">
        <v>77</v>
      </c>
      <c r="N619" t="s">
        <v>103</v>
      </c>
      <c r="O619" t="s">
        <v>74</v>
      </c>
      <c r="P619" t="s">
        <v>74</v>
      </c>
      <c r="Q619" t="s">
        <v>74</v>
      </c>
      <c r="R619" t="s">
        <v>74</v>
      </c>
      <c r="S619" t="s">
        <v>74</v>
      </c>
      <c r="T619" t="s">
        <v>74</v>
      </c>
      <c r="U619" t="s">
        <v>8480</v>
      </c>
      <c r="V619" t="s">
        <v>8481</v>
      </c>
      <c r="W619" t="s">
        <v>8482</v>
      </c>
      <c r="X619" t="s">
        <v>8483</v>
      </c>
      <c r="Y619" t="s">
        <v>8484</v>
      </c>
      <c r="Z619" t="s">
        <v>8485</v>
      </c>
      <c r="AA619" t="s">
        <v>8486</v>
      </c>
      <c r="AB619" t="s">
        <v>8487</v>
      </c>
      <c r="AC619" t="s">
        <v>74</v>
      </c>
      <c r="AD619" t="s">
        <v>74</v>
      </c>
      <c r="AE619" t="s">
        <v>74</v>
      </c>
      <c r="AF619" t="s">
        <v>74</v>
      </c>
      <c r="AG619">
        <v>51</v>
      </c>
      <c r="AH619">
        <v>38</v>
      </c>
      <c r="AI619">
        <v>39</v>
      </c>
      <c r="AJ619">
        <v>0</v>
      </c>
      <c r="AK619">
        <v>3</v>
      </c>
      <c r="AL619" t="s">
        <v>966</v>
      </c>
      <c r="AM619" t="s">
        <v>967</v>
      </c>
      <c r="AN619" t="s">
        <v>968</v>
      </c>
      <c r="AO619" t="s">
        <v>1458</v>
      </c>
      <c r="AP619" t="s">
        <v>1459</v>
      </c>
      <c r="AQ619" t="s">
        <v>74</v>
      </c>
      <c r="AR619" t="s">
        <v>1460</v>
      </c>
      <c r="AS619" t="s">
        <v>1461</v>
      </c>
      <c r="AT619" t="s">
        <v>8430</v>
      </c>
      <c r="AU619">
        <v>1998</v>
      </c>
      <c r="AV619">
        <v>103</v>
      </c>
      <c r="AW619" t="s">
        <v>8488</v>
      </c>
      <c r="AX619" t="s">
        <v>74</v>
      </c>
      <c r="AY619" t="s">
        <v>74</v>
      </c>
      <c r="AZ619" t="s">
        <v>74</v>
      </c>
      <c r="BA619" t="s">
        <v>74</v>
      </c>
      <c r="BB619">
        <v>17261</v>
      </c>
      <c r="BC619">
        <v>17278</v>
      </c>
      <c r="BD619" t="s">
        <v>74</v>
      </c>
      <c r="BE619" t="s">
        <v>8489</v>
      </c>
      <c r="BF619" t="str">
        <f>HYPERLINK("http://dx.doi.org/10.1029/98JA00886","http://dx.doi.org/10.1029/98JA00886")</f>
        <v>http://dx.doi.org/10.1029/98JA00886</v>
      </c>
      <c r="BG619" t="s">
        <v>74</v>
      </c>
      <c r="BH619" t="s">
        <v>74</v>
      </c>
      <c r="BI619">
        <v>18</v>
      </c>
      <c r="BJ619" t="s">
        <v>1464</v>
      </c>
      <c r="BK619" t="s">
        <v>95</v>
      </c>
      <c r="BL619" t="s">
        <v>1464</v>
      </c>
      <c r="BM619" t="s">
        <v>8490</v>
      </c>
      <c r="BN619" t="s">
        <v>74</v>
      </c>
      <c r="BO619" t="s">
        <v>2825</v>
      </c>
      <c r="BP619" t="s">
        <v>74</v>
      </c>
      <c r="BQ619" t="s">
        <v>74</v>
      </c>
      <c r="BR619" t="s">
        <v>98</v>
      </c>
      <c r="BS619" t="s">
        <v>8491</v>
      </c>
      <c r="BT619" t="str">
        <f>HYPERLINK("https%3A%2F%2Fwww.webofscience.com%2Fwos%2Fwoscc%2Ffull-record%2FWOS:000075186700006","View Full Record in Web of Science")</f>
        <v>View Full Record in Web of Science</v>
      </c>
    </row>
    <row r="620" spans="1:72" x14ac:dyDescent="0.15">
      <c r="A620" t="s">
        <v>72</v>
      </c>
      <c r="B620" t="s">
        <v>8492</v>
      </c>
      <c r="C620" t="s">
        <v>74</v>
      </c>
      <c r="D620" t="s">
        <v>74</v>
      </c>
      <c r="E620" t="s">
        <v>74</v>
      </c>
      <c r="F620" t="s">
        <v>8492</v>
      </c>
      <c r="G620" t="s">
        <v>74</v>
      </c>
      <c r="H620" t="s">
        <v>74</v>
      </c>
      <c r="I620" t="s">
        <v>8493</v>
      </c>
      <c r="J620" t="s">
        <v>1450</v>
      </c>
      <c r="K620" t="s">
        <v>74</v>
      </c>
      <c r="L620" t="s">
        <v>74</v>
      </c>
      <c r="M620" t="s">
        <v>77</v>
      </c>
      <c r="N620" t="s">
        <v>103</v>
      </c>
      <c r="O620" t="s">
        <v>74</v>
      </c>
      <c r="P620" t="s">
        <v>74</v>
      </c>
      <c r="Q620" t="s">
        <v>74</v>
      </c>
      <c r="R620" t="s">
        <v>74</v>
      </c>
      <c r="S620" t="s">
        <v>74</v>
      </c>
      <c r="T620" t="s">
        <v>74</v>
      </c>
      <c r="U620" t="s">
        <v>8494</v>
      </c>
      <c r="V620" t="s">
        <v>8495</v>
      </c>
      <c r="W620" t="s">
        <v>8496</v>
      </c>
      <c r="X620" t="s">
        <v>8497</v>
      </c>
      <c r="Y620" t="s">
        <v>8498</v>
      </c>
      <c r="Z620" t="s">
        <v>74</v>
      </c>
      <c r="AA620" t="s">
        <v>8499</v>
      </c>
      <c r="AB620" t="s">
        <v>8500</v>
      </c>
      <c r="AC620" t="s">
        <v>74</v>
      </c>
      <c r="AD620" t="s">
        <v>74</v>
      </c>
      <c r="AE620" t="s">
        <v>74</v>
      </c>
      <c r="AF620" t="s">
        <v>74</v>
      </c>
      <c r="AG620">
        <v>28</v>
      </c>
      <c r="AH620">
        <v>11</v>
      </c>
      <c r="AI620">
        <v>11</v>
      </c>
      <c r="AJ620">
        <v>0</v>
      </c>
      <c r="AK620">
        <v>0</v>
      </c>
      <c r="AL620" t="s">
        <v>966</v>
      </c>
      <c r="AM620" t="s">
        <v>967</v>
      </c>
      <c r="AN620" t="s">
        <v>968</v>
      </c>
      <c r="AO620" t="s">
        <v>1458</v>
      </c>
      <c r="AP620" t="s">
        <v>1459</v>
      </c>
      <c r="AQ620" t="s">
        <v>74</v>
      </c>
      <c r="AR620" t="s">
        <v>1460</v>
      </c>
      <c r="AS620" t="s">
        <v>1461</v>
      </c>
      <c r="AT620" t="s">
        <v>8430</v>
      </c>
      <c r="AU620">
        <v>1998</v>
      </c>
      <c r="AV620">
        <v>103</v>
      </c>
      <c r="AW620" t="s">
        <v>8488</v>
      </c>
      <c r="AX620" t="s">
        <v>74</v>
      </c>
      <c r="AY620" t="s">
        <v>74</v>
      </c>
      <c r="AZ620" t="s">
        <v>74</v>
      </c>
      <c r="BA620" t="s">
        <v>74</v>
      </c>
      <c r="BB620">
        <v>17333</v>
      </c>
      <c r="BC620">
        <v>17343</v>
      </c>
      <c r="BD620" t="s">
        <v>74</v>
      </c>
      <c r="BE620" t="s">
        <v>8501</v>
      </c>
      <c r="BF620" t="str">
        <f>HYPERLINK("http://dx.doi.org/10.1029/97JA02632","http://dx.doi.org/10.1029/97JA02632")</f>
        <v>http://dx.doi.org/10.1029/97JA02632</v>
      </c>
      <c r="BG620" t="s">
        <v>74</v>
      </c>
      <c r="BH620" t="s">
        <v>74</v>
      </c>
      <c r="BI620">
        <v>11</v>
      </c>
      <c r="BJ620" t="s">
        <v>1464</v>
      </c>
      <c r="BK620" t="s">
        <v>95</v>
      </c>
      <c r="BL620" t="s">
        <v>1464</v>
      </c>
      <c r="BM620" t="s">
        <v>8490</v>
      </c>
      <c r="BN620" t="s">
        <v>74</v>
      </c>
      <c r="BO620" t="s">
        <v>1089</v>
      </c>
      <c r="BP620" t="s">
        <v>74</v>
      </c>
      <c r="BQ620" t="s">
        <v>74</v>
      </c>
      <c r="BR620" t="s">
        <v>98</v>
      </c>
      <c r="BS620" t="s">
        <v>8502</v>
      </c>
      <c r="BT620" t="str">
        <f>HYPERLINK("https%3A%2F%2Fwww.webofscience.com%2Fwos%2Fwoscc%2Ffull-record%2FWOS:000075186700011","View Full Record in Web of Science")</f>
        <v>View Full Record in Web of Science</v>
      </c>
    </row>
    <row r="621" spans="1:72" x14ac:dyDescent="0.15">
      <c r="A621" t="s">
        <v>72</v>
      </c>
      <c r="B621" t="s">
        <v>8503</v>
      </c>
      <c r="C621" t="s">
        <v>74</v>
      </c>
      <c r="D621" t="s">
        <v>74</v>
      </c>
      <c r="E621" t="s">
        <v>74</v>
      </c>
      <c r="F621" t="s">
        <v>8503</v>
      </c>
      <c r="G621" t="s">
        <v>74</v>
      </c>
      <c r="H621" t="s">
        <v>74</v>
      </c>
      <c r="I621" t="s">
        <v>8504</v>
      </c>
      <c r="J621" t="s">
        <v>1450</v>
      </c>
      <c r="K621" t="s">
        <v>74</v>
      </c>
      <c r="L621" t="s">
        <v>74</v>
      </c>
      <c r="M621" t="s">
        <v>77</v>
      </c>
      <c r="N621" t="s">
        <v>103</v>
      </c>
      <c r="O621" t="s">
        <v>74</v>
      </c>
      <c r="P621" t="s">
        <v>74</v>
      </c>
      <c r="Q621" t="s">
        <v>74</v>
      </c>
      <c r="R621" t="s">
        <v>74</v>
      </c>
      <c r="S621" t="s">
        <v>74</v>
      </c>
      <c r="T621" t="s">
        <v>74</v>
      </c>
      <c r="U621" t="s">
        <v>8505</v>
      </c>
      <c r="V621" t="s">
        <v>8506</v>
      </c>
      <c r="W621" t="s">
        <v>8507</v>
      </c>
      <c r="X621" t="s">
        <v>8508</v>
      </c>
      <c r="Y621" t="s">
        <v>8509</v>
      </c>
      <c r="Z621" t="s">
        <v>74</v>
      </c>
      <c r="AA621" t="s">
        <v>74</v>
      </c>
      <c r="AB621" t="s">
        <v>74</v>
      </c>
      <c r="AC621" t="s">
        <v>74</v>
      </c>
      <c r="AD621" t="s">
        <v>74</v>
      </c>
      <c r="AE621" t="s">
        <v>74</v>
      </c>
      <c r="AF621" t="s">
        <v>74</v>
      </c>
      <c r="AG621">
        <v>45</v>
      </c>
      <c r="AH621">
        <v>88</v>
      </c>
      <c r="AI621">
        <v>99</v>
      </c>
      <c r="AJ621">
        <v>0</v>
      </c>
      <c r="AK621">
        <v>1</v>
      </c>
      <c r="AL621" t="s">
        <v>966</v>
      </c>
      <c r="AM621" t="s">
        <v>967</v>
      </c>
      <c r="AN621" t="s">
        <v>968</v>
      </c>
      <c r="AO621" t="s">
        <v>74</v>
      </c>
      <c r="AP621" t="s">
        <v>74</v>
      </c>
      <c r="AQ621" t="s">
        <v>74</v>
      </c>
      <c r="AR621" t="s">
        <v>1460</v>
      </c>
      <c r="AS621" t="s">
        <v>1461</v>
      </c>
      <c r="AT621" t="s">
        <v>8430</v>
      </c>
      <c r="AU621">
        <v>1998</v>
      </c>
      <c r="AV621">
        <v>103</v>
      </c>
      <c r="AW621" t="s">
        <v>8488</v>
      </c>
      <c r="AX621" t="s">
        <v>74</v>
      </c>
      <c r="AY621" t="s">
        <v>74</v>
      </c>
      <c r="AZ621" t="s">
        <v>74</v>
      </c>
      <c r="BA621" t="s">
        <v>74</v>
      </c>
      <c r="BB621">
        <v>17429</v>
      </c>
      <c r="BC621">
        <v>17440</v>
      </c>
      <c r="BD621" t="s">
        <v>74</v>
      </c>
      <c r="BE621" t="s">
        <v>8510</v>
      </c>
      <c r="BF621" t="str">
        <f>HYPERLINK("http://dx.doi.org/10.1029/98JA01105","http://dx.doi.org/10.1029/98JA01105")</f>
        <v>http://dx.doi.org/10.1029/98JA01105</v>
      </c>
      <c r="BG621" t="s">
        <v>74</v>
      </c>
      <c r="BH621" t="s">
        <v>74</v>
      </c>
      <c r="BI621">
        <v>12</v>
      </c>
      <c r="BJ621" t="s">
        <v>1464</v>
      </c>
      <c r="BK621" t="s">
        <v>95</v>
      </c>
      <c r="BL621" t="s">
        <v>1464</v>
      </c>
      <c r="BM621" t="s">
        <v>8490</v>
      </c>
      <c r="BN621" t="s">
        <v>74</v>
      </c>
      <c r="BO621" t="s">
        <v>74</v>
      </c>
      <c r="BP621" t="s">
        <v>74</v>
      </c>
      <c r="BQ621" t="s">
        <v>74</v>
      </c>
      <c r="BR621" t="s">
        <v>98</v>
      </c>
      <c r="BS621" t="s">
        <v>8511</v>
      </c>
      <c r="BT621" t="str">
        <f>HYPERLINK("https%3A%2F%2Fwww.webofscience.com%2Fwos%2Fwoscc%2Ffull-record%2FWOS:000075186700018","View Full Record in Web of Science")</f>
        <v>View Full Record in Web of Science</v>
      </c>
    </row>
    <row r="622" spans="1:72" x14ac:dyDescent="0.15">
      <c r="A622" t="s">
        <v>72</v>
      </c>
      <c r="B622" t="s">
        <v>8512</v>
      </c>
      <c r="C622" t="s">
        <v>74</v>
      </c>
      <c r="D622" t="s">
        <v>74</v>
      </c>
      <c r="E622" t="s">
        <v>74</v>
      </c>
      <c r="F622" t="s">
        <v>8512</v>
      </c>
      <c r="G622" t="s">
        <v>74</v>
      </c>
      <c r="H622" t="s">
        <v>74</v>
      </c>
      <c r="I622" t="s">
        <v>8513</v>
      </c>
      <c r="J622" t="s">
        <v>1450</v>
      </c>
      <c r="K622" t="s">
        <v>74</v>
      </c>
      <c r="L622" t="s">
        <v>74</v>
      </c>
      <c r="M622" t="s">
        <v>77</v>
      </c>
      <c r="N622" t="s">
        <v>103</v>
      </c>
      <c r="O622" t="s">
        <v>74</v>
      </c>
      <c r="P622" t="s">
        <v>74</v>
      </c>
      <c r="Q622" t="s">
        <v>74</v>
      </c>
      <c r="R622" t="s">
        <v>74</v>
      </c>
      <c r="S622" t="s">
        <v>74</v>
      </c>
      <c r="T622" t="s">
        <v>74</v>
      </c>
      <c r="U622" t="s">
        <v>8514</v>
      </c>
      <c r="V622" t="s">
        <v>8515</v>
      </c>
      <c r="W622" t="s">
        <v>8516</v>
      </c>
      <c r="X622" t="s">
        <v>8517</v>
      </c>
      <c r="Y622" t="s">
        <v>8518</v>
      </c>
      <c r="Z622" t="s">
        <v>8519</v>
      </c>
      <c r="AA622" t="s">
        <v>74</v>
      </c>
      <c r="AB622" t="s">
        <v>74</v>
      </c>
      <c r="AC622" t="s">
        <v>74</v>
      </c>
      <c r="AD622" t="s">
        <v>74</v>
      </c>
      <c r="AE622" t="s">
        <v>74</v>
      </c>
      <c r="AF622" t="s">
        <v>74</v>
      </c>
      <c r="AG622">
        <v>32</v>
      </c>
      <c r="AH622">
        <v>17</v>
      </c>
      <c r="AI622">
        <v>17</v>
      </c>
      <c r="AJ622">
        <v>0</v>
      </c>
      <c r="AK622">
        <v>0</v>
      </c>
      <c r="AL622" t="s">
        <v>966</v>
      </c>
      <c r="AM622" t="s">
        <v>967</v>
      </c>
      <c r="AN622" t="s">
        <v>968</v>
      </c>
      <c r="AO622" t="s">
        <v>1458</v>
      </c>
      <c r="AP622" t="s">
        <v>1459</v>
      </c>
      <c r="AQ622" t="s">
        <v>74</v>
      </c>
      <c r="AR622" t="s">
        <v>1460</v>
      </c>
      <c r="AS622" t="s">
        <v>1461</v>
      </c>
      <c r="AT622" t="s">
        <v>8430</v>
      </c>
      <c r="AU622">
        <v>1998</v>
      </c>
      <c r="AV622">
        <v>103</v>
      </c>
      <c r="AW622" t="s">
        <v>8488</v>
      </c>
      <c r="AX622" t="s">
        <v>74</v>
      </c>
      <c r="AY622" t="s">
        <v>74</v>
      </c>
      <c r="AZ622" t="s">
        <v>74</v>
      </c>
      <c r="BA622" t="s">
        <v>74</v>
      </c>
      <c r="BB622">
        <v>17651</v>
      </c>
      <c r="BC622">
        <v>17669</v>
      </c>
      <c r="BD622" t="s">
        <v>74</v>
      </c>
      <c r="BE622" t="s">
        <v>8520</v>
      </c>
      <c r="BF622" t="str">
        <f>HYPERLINK("http://dx.doi.org/10.1029/98JA01037","http://dx.doi.org/10.1029/98JA01037")</f>
        <v>http://dx.doi.org/10.1029/98JA01037</v>
      </c>
      <c r="BG622" t="s">
        <v>74</v>
      </c>
      <c r="BH622" t="s">
        <v>74</v>
      </c>
      <c r="BI622">
        <v>19</v>
      </c>
      <c r="BJ622" t="s">
        <v>1464</v>
      </c>
      <c r="BK622" t="s">
        <v>95</v>
      </c>
      <c r="BL622" t="s">
        <v>1464</v>
      </c>
      <c r="BM622" t="s">
        <v>8490</v>
      </c>
      <c r="BN622" t="s">
        <v>74</v>
      </c>
      <c r="BO622" t="s">
        <v>2825</v>
      </c>
      <c r="BP622" t="s">
        <v>74</v>
      </c>
      <c r="BQ622" t="s">
        <v>74</v>
      </c>
      <c r="BR622" t="s">
        <v>98</v>
      </c>
      <c r="BS622" t="s">
        <v>8521</v>
      </c>
      <c r="BT622" t="str">
        <f>HYPERLINK("https%3A%2F%2Fwww.webofscience.com%2Fwos%2Fwoscc%2Ffull-record%2FWOS:000075186700036","View Full Record in Web of Science")</f>
        <v>View Full Record in Web of Science</v>
      </c>
    </row>
    <row r="623" spans="1:72" x14ac:dyDescent="0.15">
      <c r="A623" t="s">
        <v>72</v>
      </c>
      <c r="B623" t="s">
        <v>8522</v>
      </c>
      <c r="C623" t="s">
        <v>74</v>
      </c>
      <c r="D623" t="s">
        <v>74</v>
      </c>
      <c r="E623" t="s">
        <v>74</v>
      </c>
      <c r="F623" t="s">
        <v>8522</v>
      </c>
      <c r="G623" t="s">
        <v>74</v>
      </c>
      <c r="H623" t="s">
        <v>74</v>
      </c>
      <c r="I623" t="s">
        <v>8523</v>
      </c>
      <c r="J623" t="s">
        <v>8524</v>
      </c>
      <c r="K623" t="s">
        <v>74</v>
      </c>
      <c r="L623" t="s">
        <v>74</v>
      </c>
      <c r="M623" t="s">
        <v>77</v>
      </c>
      <c r="N623" t="s">
        <v>103</v>
      </c>
      <c r="O623" t="s">
        <v>74</v>
      </c>
      <c r="P623" t="s">
        <v>74</v>
      </c>
      <c r="Q623" t="s">
        <v>74</v>
      </c>
      <c r="R623" t="s">
        <v>74</v>
      </c>
      <c r="S623" t="s">
        <v>74</v>
      </c>
      <c r="T623" t="s">
        <v>8525</v>
      </c>
      <c r="U623" t="s">
        <v>8526</v>
      </c>
      <c r="V623" t="s">
        <v>8527</v>
      </c>
      <c r="W623" t="s">
        <v>8528</v>
      </c>
      <c r="X623" t="s">
        <v>8529</v>
      </c>
      <c r="Y623" t="s">
        <v>8530</v>
      </c>
      <c r="Z623" t="s">
        <v>8531</v>
      </c>
      <c r="AA623" t="s">
        <v>74</v>
      </c>
      <c r="AB623" t="s">
        <v>74</v>
      </c>
      <c r="AC623" t="s">
        <v>74</v>
      </c>
      <c r="AD623" t="s">
        <v>74</v>
      </c>
      <c r="AE623" t="s">
        <v>74</v>
      </c>
      <c r="AF623" t="s">
        <v>74</v>
      </c>
      <c r="AG623">
        <v>66</v>
      </c>
      <c r="AH623">
        <v>17</v>
      </c>
      <c r="AI623">
        <v>20</v>
      </c>
      <c r="AJ623">
        <v>0</v>
      </c>
      <c r="AK623">
        <v>3</v>
      </c>
      <c r="AL623" t="s">
        <v>887</v>
      </c>
      <c r="AM623" t="s">
        <v>278</v>
      </c>
      <c r="AN623" t="s">
        <v>888</v>
      </c>
      <c r="AO623" t="s">
        <v>8532</v>
      </c>
      <c r="AP623" t="s">
        <v>74</v>
      </c>
      <c r="AQ623" t="s">
        <v>74</v>
      </c>
      <c r="AR623" t="s">
        <v>8533</v>
      </c>
      <c r="AS623" t="s">
        <v>8534</v>
      </c>
      <c r="AT623" t="s">
        <v>8101</v>
      </c>
      <c r="AU623">
        <v>1998</v>
      </c>
      <c r="AV623">
        <v>47</v>
      </c>
      <c r="AW623">
        <v>2</v>
      </c>
      <c r="AX623" t="s">
        <v>74</v>
      </c>
      <c r="AY623" t="s">
        <v>74</v>
      </c>
      <c r="AZ623" t="s">
        <v>74</v>
      </c>
      <c r="BA623" t="s">
        <v>74</v>
      </c>
      <c r="BB623">
        <v>156</v>
      </c>
      <c r="BC623">
        <v>166</v>
      </c>
      <c r="BD623" t="s">
        <v>74</v>
      </c>
      <c r="BE623" t="s">
        <v>8535</v>
      </c>
      <c r="BF623" t="str">
        <f>HYPERLINK("http://dx.doi.org/10.1007/PL00006372","http://dx.doi.org/10.1007/PL00006372")</f>
        <v>http://dx.doi.org/10.1007/PL00006372</v>
      </c>
      <c r="BG623" t="s">
        <v>74</v>
      </c>
      <c r="BH623" t="s">
        <v>74</v>
      </c>
      <c r="BI623">
        <v>11</v>
      </c>
      <c r="BJ623" t="s">
        <v>8536</v>
      </c>
      <c r="BK623" t="s">
        <v>95</v>
      </c>
      <c r="BL623" t="s">
        <v>8536</v>
      </c>
      <c r="BM623" t="s">
        <v>8537</v>
      </c>
      <c r="BN623">
        <v>9694664</v>
      </c>
      <c r="BO623" t="s">
        <v>74</v>
      </c>
      <c r="BP623" t="s">
        <v>74</v>
      </c>
      <c r="BQ623" t="s">
        <v>74</v>
      </c>
      <c r="BR623" t="s">
        <v>98</v>
      </c>
      <c r="BS623" t="s">
        <v>8538</v>
      </c>
      <c r="BT623" t="str">
        <f>HYPERLINK("https%3A%2F%2Fwww.webofscience.com%2Fwos%2Fwoscc%2Ffull-record%2FWOS:000075178400007","View Full Record in Web of Science")</f>
        <v>View Full Record in Web of Science</v>
      </c>
    </row>
    <row r="624" spans="1:72" x14ac:dyDescent="0.15">
      <c r="A624" t="s">
        <v>72</v>
      </c>
      <c r="B624" t="s">
        <v>8539</v>
      </c>
      <c r="C624" t="s">
        <v>74</v>
      </c>
      <c r="D624" t="s">
        <v>74</v>
      </c>
      <c r="E624" t="s">
        <v>74</v>
      </c>
      <c r="F624" t="s">
        <v>8539</v>
      </c>
      <c r="G624" t="s">
        <v>74</v>
      </c>
      <c r="H624" t="s">
        <v>74</v>
      </c>
      <c r="I624" t="s">
        <v>8540</v>
      </c>
      <c r="J624" t="s">
        <v>4397</v>
      </c>
      <c r="K624" t="s">
        <v>74</v>
      </c>
      <c r="L624" t="s">
        <v>74</v>
      </c>
      <c r="M624" t="s">
        <v>77</v>
      </c>
      <c r="N624" t="s">
        <v>103</v>
      </c>
      <c r="O624" t="s">
        <v>74</v>
      </c>
      <c r="P624" t="s">
        <v>74</v>
      </c>
      <c r="Q624" t="s">
        <v>74</v>
      </c>
      <c r="R624" t="s">
        <v>74</v>
      </c>
      <c r="S624" t="s">
        <v>74</v>
      </c>
      <c r="T624" t="s">
        <v>8541</v>
      </c>
      <c r="U624" t="s">
        <v>8542</v>
      </c>
      <c r="V624" t="s">
        <v>8543</v>
      </c>
      <c r="W624" t="s">
        <v>5744</v>
      </c>
      <c r="X624" t="s">
        <v>3550</v>
      </c>
      <c r="Y624" t="s">
        <v>8544</v>
      </c>
      <c r="Z624" t="s">
        <v>8545</v>
      </c>
      <c r="AA624" t="s">
        <v>74</v>
      </c>
      <c r="AB624" t="s">
        <v>74</v>
      </c>
      <c r="AC624" t="s">
        <v>74</v>
      </c>
      <c r="AD624" t="s">
        <v>74</v>
      </c>
      <c r="AE624" t="s">
        <v>74</v>
      </c>
      <c r="AF624" t="s">
        <v>74</v>
      </c>
      <c r="AG624">
        <v>42</v>
      </c>
      <c r="AH624">
        <v>52</v>
      </c>
      <c r="AI624">
        <v>61</v>
      </c>
      <c r="AJ624">
        <v>0</v>
      </c>
      <c r="AK624">
        <v>19</v>
      </c>
      <c r="AL624" t="s">
        <v>655</v>
      </c>
      <c r="AM624" t="s">
        <v>656</v>
      </c>
      <c r="AN624" t="s">
        <v>657</v>
      </c>
      <c r="AO624" t="s">
        <v>4409</v>
      </c>
      <c r="AP624" t="s">
        <v>6573</v>
      </c>
      <c r="AQ624" t="s">
        <v>74</v>
      </c>
      <c r="AR624" t="s">
        <v>4410</v>
      </c>
      <c r="AS624" t="s">
        <v>4411</v>
      </c>
      <c r="AT624" t="s">
        <v>8101</v>
      </c>
      <c r="AU624">
        <v>1998</v>
      </c>
      <c r="AV624">
        <v>34</v>
      </c>
      <c r="AW624">
        <v>4</v>
      </c>
      <c r="AX624" t="s">
        <v>74</v>
      </c>
      <c r="AY624" t="s">
        <v>74</v>
      </c>
      <c r="AZ624" t="s">
        <v>74</v>
      </c>
      <c r="BA624" t="s">
        <v>74</v>
      </c>
      <c r="BB624">
        <v>587</v>
      </c>
      <c r="BC624">
        <v>597</v>
      </c>
      <c r="BD624" t="s">
        <v>74</v>
      </c>
      <c r="BE624" t="s">
        <v>8546</v>
      </c>
      <c r="BF624" t="str">
        <f>HYPERLINK("http://dx.doi.org/10.1046/j.1529-8817.1998.340587.x","http://dx.doi.org/10.1046/j.1529-8817.1998.340587.x")</f>
        <v>http://dx.doi.org/10.1046/j.1529-8817.1998.340587.x</v>
      </c>
      <c r="BG624" t="s">
        <v>74</v>
      </c>
      <c r="BH624" t="s">
        <v>74</v>
      </c>
      <c r="BI624">
        <v>11</v>
      </c>
      <c r="BJ624" t="s">
        <v>4413</v>
      </c>
      <c r="BK624" t="s">
        <v>95</v>
      </c>
      <c r="BL624" t="s">
        <v>4413</v>
      </c>
      <c r="BM624" t="s">
        <v>8547</v>
      </c>
      <c r="BN624" t="s">
        <v>74</v>
      </c>
      <c r="BO624" t="s">
        <v>74</v>
      </c>
      <c r="BP624" t="s">
        <v>74</v>
      </c>
      <c r="BQ624" t="s">
        <v>74</v>
      </c>
      <c r="BR624" t="s">
        <v>98</v>
      </c>
      <c r="BS624" t="s">
        <v>8548</v>
      </c>
      <c r="BT624" t="str">
        <f>HYPERLINK("https%3A%2F%2Fwww.webofscience.com%2Fwos%2Fwoscc%2Ffull-record%2FWOS:000075712400004","View Full Record in Web of Science")</f>
        <v>View Full Record in Web of Science</v>
      </c>
    </row>
    <row r="625" spans="1:72" x14ac:dyDescent="0.15">
      <c r="A625" t="s">
        <v>72</v>
      </c>
      <c r="B625" t="s">
        <v>8549</v>
      </c>
      <c r="C625" t="s">
        <v>74</v>
      </c>
      <c r="D625" t="s">
        <v>74</v>
      </c>
      <c r="E625" t="s">
        <v>74</v>
      </c>
      <c r="F625" t="s">
        <v>8549</v>
      </c>
      <c r="G625" t="s">
        <v>74</v>
      </c>
      <c r="H625" t="s">
        <v>74</v>
      </c>
      <c r="I625" t="s">
        <v>8550</v>
      </c>
      <c r="J625" t="s">
        <v>8551</v>
      </c>
      <c r="K625" t="s">
        <v>74</v>
      </c>
      <c r="L625" t="s">
        <v>74</v>
      </c>
      <c r="M625" t="s">
        <v>77</v>
      </c>
      <c r="N625" t="s">
        <v>103</v>
      </c>
      <c r="O625" t="s">
        <v>74</v>
      </c>
      <c r="P625" t="s">
        <v>74</v>
      </c>
      <c r="Q625" t="s">
        <v>74</v>
      </c>
      <c r="R625" t="s">
        <v>74</v>
      </c>
      <c r="S625" t="s">
        <v>74</v>
      </c>
      <c r="T625" t="s">
        <v>74</v>
      </c>
      <c r="U625" t="s">
        <v>8552</v>
      </c>
      <c r="V625" t="s">
        <v>8553</v>
      </c>
      <c r="W625" t="s">
        <v>508</v>
      </c>
      <c r="X625" t="s">
        <v>509</v>
      </c>
      <c r="Y625" t="s">
        <v>8554</v>
      </c>
      <c r="Z625" t="s">
        <v>8555</v>
      </c>
      <c r="AA625" t="s">
        <v>74</v>
      </c>
      <c r="AB625" t="s">
        <v>3614</v>
      </c>
      <c r="AC625" t="s">
        <v>74</v>
      </c>
      <c r="AD625" t="s">
        <v>74</v>
      </c>
      <c r="AE625" t="s">
        <v>74</v>
      </c>
      <c r="AF625" t="s">
        <v>74</v>
      </c>
      <c r="AG625">
        <v>42</v>
      </c>
      <c r="AH625">
        <v>28</v>
      </c>
      <c r="AI625">
        <v>30</v>
      </c>
      <c r="AJ625">
        <v>0</v>
      </c>
      <c r="AK625">
        <v>11</v>
      </c>
      <c r="AL625" t="s">
        <v>948</v>
      </c>
      <c r="AM625" t="s">
        <v>278</v>
      </c>
      <c r="AN625" t="s">
        <v>3974</v>
      </c>
      <c r="AO625" t="s">
        <v>8556</v>
      </c>
      <c r="AP625" t="s">
        <v>8557</v>
      </c>
      <c r="AQ625" t="s">
        <v>74</v>
      </c>
      <c r="AR625" t="s">
        <v>8558</v>
      </c>
      <c r="AS625" t="s">
        <v>8559</v>
      </c>
      <c r="AT625" t="s">
        <v>8101</v>
      </c>
      <c r="AU625">
        <v>1998</v>
      </c>
      <c r="AV625">
        <v>78</v>
      </c>
      <c r="AW625">
        <v>3</v>
      </c>
      <c r="AX625" t="s">
        <v>74</v>
      </c>
      <c r="AY625" t="s">
        <v>74</v>
      </c>
      <c r="AZ625" t="s">
        <v>74</v>
      </c>
      <c r="BA625" t="s">
        <v>74</v>
      </c>
      <c r="BB625">
        <v>941</v>
      </c>
      <c r="BC625">
        <v>951</v>
      </c>
      <c r="BD625" t="s">
        <v>74</v>
      </c>
      <c r="BE625" t="s">
        <v>8560</v>
      </c>
      <c r="BF625" t="str">
        <f>HYPERLINK("http://dx.doi.org/10.1017/S0025315400044891","http://dx.doi.org/10.1017/S0025315400044891")</f>
        <v>http://dx.doi.org/10.1017/S0025315400044891</v>
      </c>
      <c r="BG625" t="s">
        <v>74</v>
      </c>
      <c r="BH625" t="s">
        <v>74</v>
      </c>
      <c r="BI625">
        <v>11</v>
      </c>
      <c r="BJ625" t="s">
        <v>212</v>
      </c>
      <c r="BK625" t="s">
        <v>95</v>
      </c>
      <c r="BL625" t="s">
        <v>212</v>
      </c>
      <c r="BM625" t="s">
        <v>8561</v>
      </c>
      <c r="BN625" t="s">
        <v>74</v>
      </c>
      <c r="BO625" t="s">
        <v>483</v>
      </c>
      <c r="BP625" t="s">
        <v>74</v>
      </c>
      <c r="BQ625" t="s">
        <v>74</v>
      </c>
      <c r="BR625" t="s">
        <v>98</v>
      </c>
      <c r="BS625" t="s">
        <v>8562</v>
      </c>
      <c r="BT625" t="str">
        <f>HYPERLINK("https%3A%2F%2Fwww.webofscience.com%2Fwos%2Fwoscc%2Ffull-record%2FWOS:000075710300019","View Full Record in Web of Science")</f>
        <v>View Full Record in Web of Science</v>
      </c>
    </row>
    <row r="626" spans="1:72" x14ac:dyDescent="0.15">
      <c r="A626" t="s">
        <v>72</v>
      </c>
      <c r="B626" t="s">
        <v>8563</v>
      </c>
      <c r="C626" t="s">
        <v>74</v>
      </c>
      <c r="D626" t="s">
        <v>74</v>
      </c>
      <c r="E626" t="s">
        <v>74</v>
      </c>
      <c r="F626" t="s">
        <v>8563</v>
      </c>
      <c r="G626" t="s">
        <v>74</v>
      </c>
      <c r="H626" t="s">
        <v>74</v>
      </c>
      <c r="I626" t="s">
        <v>8564</v>
      </c>
      <c r="J626" t="s">
        <v>8565</v>
      </c>
      <c r="K626" t="s">
        <v>74</v>
      </c>
      <c r="L626" t="s">
        <v>74</v>
      </c>
      <c r="M626" t="s">
        <v>77</v>
      </c>
      <c r="N626" t="s">
        <v>103</v>
      </c>
      <c r="O626" t="s">
        <v>74</v>
      </c>
      <c r="P626" t="s">
        <v>74</v>
      </c>
      <c r="Q626" t="s">
        <v>74</v>
      </c>
      <c r="R626" t="s">
        <v>74</v>
      </c>
      <c r="S626" t="s">
        <v>74</v>
      </c>
      <c r="T626" t="s">
        <v>8566</v>
      </c>
      <c r="U626" t="s">
        <v>8567</v>
      </c>
      <c r="V626" t="s">
        <v>8568</v>
      </c>
      <c r="W626" t="s">
        <v>8569</v>
      </c>
      <c r="X626" t="s">
        <v>8570</v>
      </c>
      <c r="Y626" t="s">
        <v>8571</v>
      </c>
      <c r="Z626" t="s">
        <v>74</v>
      </c>
      <c r="AA626" t="s">
        <v>8572</v>
      </c>
      <c r="AB626" t="s">
        <v>74</v>
      </c>
      <c r="AC626" t="s">
        <v>74</v>
      </c>
      <c r="AD626" t="s">
        <v>74</v>
      </c>
      <c r="AE626" t="s">
        <v>74</v>
      </c>
      <c r="AF626" t="s">
        <v>74</v>
      </c>
      <c r="AG626">
        <v>26</v>
      </c>
      <c r="AH626">
        <v>30</v>
      </c>
      <c r="AI626">
        <v>39</v>
      </c>
      <c r="AJ626">
        <v>0</v>
      </c>
      <c r="AK626">
        <v>7</v>
      </c>
      <c r="AL626" t="s">
        <v>948</v>
      </c>
      <c r="AM626" t="s">
        <v>278</v>
      </c>
      <c r="AN626" t="s">
        <v>949</v>
      </c>
      <c r="AO626" t="s">
        <v>8573</v>
      </c>
      <c r="AP626" t="s">
        <v>74</v>
      </c>
      <c r="AQ626" t="s">
        <v>74</v>
      </c>
      <c r="AR626" t="s">
        <v>8574</v>
      </c>
      <c r="AS626" t="s">
        <v>8575</v>
      </c>
      <c r="AT626" t="s">
        <v>8101</v>
      </c>
      <c r="AU626">
        <v>1998</v>
      </c>
      <c r="AV626">
        <v>245</v>
      </c>
      <c r="AW626" t="s">
        <v>74</v>
      </c>
      <c r="AX626">
        <v>4</v>
      </c>
      <c r="AY626" t="s">
        <v>74</v>
      </c>
      <c r="AZ626" t="s">
        <v>74</v>
      </c>
      <c r="BA626" t="s">
        <v>74</v>
      </c>
      <c r="BB626">
        <v>473</v>
      </c>
      <c r="BC626">
        <v>482</v>
      </c>
      <c r="BD626" t="s">
        <v>74</v>
      </c>
      <c r="BE626" t="s">
        <v>8576</v>
      </c>
      <c r="BF626" t="str">
        <f>HYPERLINK("http://dx.doi.org/10.1017/S0952836998008115","http://dx.doi.org/10.1017/S0952836998008115")</f>
        <v>http://dx.doi.org/10.1017/S0952836998008115</v>
      </c>
      <c r="BG626" t="s">
        <v>74</v>
      </c>
      <c r="BH626" t="s">
        <v>74</v>
      </c>
      <c r="BI626">
        <v>10</v>
      </c>
      <c r="BJ626" t="s">
        <v>117</v>
      </c>
      <c r="BK626" t="s">
        <v>95</v>
      </c>
      <c r="BL626" t="s">
        <v>117</v>
      </c>
      <c r="BM626" t="s">
        <v>8577</v>
      </c>
      <c r="BN626" t="s">
        <v>74</v>
      </c>
      <c r="BO626" t="s">
        <v>74</v>
      </c>
      <c r="BP626" t="s">
        <v>74</v>
      </c>
      <c r="BQ626" t="s">
        <v>74</v>
      </c>
      <c r="BR626" t="s">
        <v>98</v>
      </c>
      <c r="BS626" t="s">
        <v>8578</v>
      </c>
      <c r="BT626" t="str">
        <f>HYPERLINK("https%3A%2F%2Fwww.webofscience.com%2Fwos%2Fwoscc%2Ffull-record%2FWOS:000076411500011","View Full Record in Web of Science")</f>
        <v>View Full Record in Web of Science</v>
      </c>
    </row>
    <row r="627" spans="1:72" x14ac:dyDescent="0.15">
      <c r="A627" t="s">
        <v>72</v>
      </c>
      <c r="B627" t="s">
        <v>8579</v>
      </c>
      <c r="C627" t="s">
        <v>74</v>
      </c>
      <c r="D627" t="s">
        <v>74</v>
      </c>
      <c r="E627" t="s">
        <v>74</v>
      </c>
      <c r="F627" t="s">
        <v>8579</v>
      </c>
      <c r="G627" t="s">
        <v>74</v>
      </c>
      <c r="H627" t="s">
        <v>74</v>
      </c>
      <c r="I627" t="s">
        <v>8580</v>
      </c>
      <c r="J627" t="s">
        <v>1842</v>
      </c>
      <c r="K627" t="s">
        <v>74</v>
      </c>
      <c r="L627" t="s">
        <v>74</v>
      </c>
      <c r="M627" t="s">
        <v>77</v>
      </c>
      <c r="N627" t="s">
        <v>103</v>
      </c>
      <c r="O627" t="s">
        <v>74</v>
      </c>
      <c r="P627" t="s">
        <v>74</v>
      </c>
      <c r="Q627" t="s">
        <v>74</v>
      </c>
      <c r="R627" t="s">
        <v>74</v>
      </c>
      <c r="S627" t="s">
        <v>74</v>
      </c>
      <c r="T627" t="s">
        <v>74</v>
      </c>
      <c r="U627" t="s">
        <v>8581</v>
      </c>
      <c r="V627" t="s">
        <v>8582</v>
      </c>
      <c r="W627" t="s">
        <v>8583</v>
      </c>
      <c r="X627" t="s">
        <v>8584</v>
      </c>
      <c r="Y627" t="s">
        <v>8585</v>
      </c>
      <c r="Z627" t="s">
        <v>74</v>
      </c>
      <c r="AA627" t="s">
        <v>74</v>
      </c>
      <c r="AB627" t="s">
        <v>74</v>
      </c>
      <c r="AC627" t="s">
        <v>74</v>
      </c>
      <c r="AD627" t="s">
        <v>74</v>
      </c>
      <c r="AE627" t="s">
        <v>74</v>
      </c>
      <c r="AF627" t="s">
        <v>74</v>
      </c>
      <c r="AG627">
        <v>45</v>
      </c>
      <c r="AH627">
        <v>24</v>
      </c>
      <c r="AI627">
        <v>25</v>
      </c>
      <c r="AJ627">
        <v>0</v>
      </c>
      <c r="AK627">
        <v>4</v>
      </c>
      <c r="AL627" t="s">
        <v>887</v>
      </c>
      <c r="AM627" t="s">
        <v>278</v>
      </c>
      <c r="AN627" t="s">
        <v>888</v>
      </c>
      <c r="AO627" t="s">
        <v>1848</v>
      </c>
      <c r="AP627" t="s">
        <v>74</v>
      </c>
      <c r="AQ627" t="s">
        <v>74</v>
      </c>
      <c r="AR627" t="s">
        <v>1849</v>
      </c>
      <c r="AS627" t="s">
        <v>1850</v>
      </c>
      <c r="AT627" t="s">
        <v>8101</v>
      </c>
      <c r="AU627">
        <v>1998</v>
      </c>
      <c r="AV627">
        <v>132</v>
      </c>
      <c r="AW627">
        <v>1</v>
      </c>
      <c r="AX627" t="s">
        <v>74</v>
      </c>
      <c r="AY627" t="s">
        <v>74</v>
      </c>
      <c r="AZ627" t="s">
        <v>74</v>
      </c>
      <c r="BA627" t="s">
        <v>74</v>
      </c>
      <c r="BB627">
        <v>153</v>
      </c>
      <c r="BC627">
        <v>162</v>
      </c>
      <c r="BD627" t="s">
        <v>74</v>
      </c>
      <c r="BE627" t="s">
        <v>8586</v>
      </c>
      <c r="BF627" t="str">
        <f>HYPERLINK("http://dx.doi.org/10.1007/s002270050381","http://dx.doi.org/10.1007/s002270050381")</f>
        <v>http://dx.doi.org/10.1007/s002270050381</v>
      </c>
      <c r="BG627" t="s">
        <v>74</v>
      </c>
      <c r="BH627" t="s">
        <v>74</v>
      </c>
      <c r="BI627">
        <v>10</v>
      </c>
      <c r="BJ627" t="s">
        <v>212</v>
      </c>
      <c r="BK627" t="s">
        <v>95</v>
      </c>
      <c r="BL627" t="s">
        <v>212</v>
      </c>
      <c r="BM627" t="s">
        <v>8587</v>
      </c>
      <c r="BN627" t="s">
        <v>74</v>
      </c>
      <c r="BO627" t="s">
        <v>74</v>
      </c>
      <c r="BP627" t="s">
        <v>74</v>
      </c>
      <c r="BQ627" t="s">
        <v>74</v>
      </c>
      <c r="BR627" t="s">
        <v>98</v>
      </c>
      <c r="BS627" t="s">
        <v>8588</v>
      </c>
      <c r="BT627" t="str">
        <f>HYPERLINK("https%3A%2F%2Fwww.webofscience.com%2Fwos%2Fwoscc%2Ffull-record%2FWOS:000075866100016","View Full Record in Web of Science")</f>
        <v>View Full Record in Web of Science</v>
      </c>
    </row>
    <row r="628" spans="1:72" x14ac:dyDescent="0.15">
      <c r="A628" t="s">
        <v>72</v>
      </c>
      <c r="B628" t="s">
        <v>8589</v>
      </c>
      <c r="C628" t="s">
        <v>74</v>
      </c>
      <c r="D628" t="s">
        <v>74</v>
      </c>
      <c r="E628" t="s">
        <v>74</v>
      </c>
      <c r="F628" t="s">
        <v>8589</v>
      </c>
      <c r="G628" t="s">
        <v>74</v>
      </c>
      <c r="H628" t="s">
        <v>74</v>
      </c>
      <c r="I628" t="s">
        <v>8590</v>
      </c>
      <c r="J628" t="s">
        <v>5697</v>
      </c>
      <c r="K628" t="s">
        <v>74</v>
      </c>
      <c r="L628" t="s">
        <v>74</v>
      </c>
      <c r="M628" t="s">
        <v>77</v>
      </c>
      <c r="N628" t="s">
        <v>103</v>
      </c>
      <c r="O628" t="s">
        <v>74</v>
      </c>
      <c r="P628" t="s">
        <v>74</v>
      </c>
      <c r="Q628" t="s">
        <v>74</v>
      </c>
      <c r="R628" t="s">
        <v>74</v>
      </c>
      <c r="S628" t="s">
        <v>74</v>
      </c>
      <c r="T628" t="s">
        <v>8591</v>
      </c>
      <c r="U628" t="s">
        <v>8592</v>
      </c>
      <c r="V628" t="s">
        <v>8593</v>
      </c>
      <c r="W628" t="s">
        <v>8594</v>
      </c>
      <c r="X628" t="s">
        <v>5702</v>
      </c>
      <c r="Y628" t="s">
        <v>8595</v>
      </c>
      <c r="Z628" t="s">
        <v>74</v>
      </c>
      <c r="AA628" t="s">
        <v>74</v>
      </c>
      <c r="AB628" t="s">
        <v>74</v>
      </c>
      <c r="AC628" t="s">
        <v>74</v>
      </c>
      <c r="AD628" t="s">
        <v>74</v>
      </c>
      <c r="AE628" t="s">
        <v>74</v>
      </c>
      <c r="AF628" t="s">
        <v>74</v>
      </c>
      <c r="AG628">
        <v>54</v>
      </c>
      <c r="AH628">
        <v>42</v>
      </c>
      <c r="AI628">
        <v>57</v>
      </c>
      <c r="AJ628">
        <v>0</v>
      </c>
      <c r="AK628">
        <v>16</v>
      </c>
      <c r="AL628" t="s">
        <v>1037</v>
      </c>
      <c r="AM628" t="s">
        <v>1038</v>
      </c>
      <c r="AN628" t="s">
        <v>1039</v>
      </c>
      <c r="AO628" t="s">
        <v>5706</v>
      </c>
      <c r="AP628" t="s">
        <v>74</v>
      </c>
      <c r="AQ628" t="s">
        <v>74</v>
      </c>
      <c r="AR628" t="s">
        <v>5708</v>
      </c>
      <c r="AS628" t="s">
        <v>5709</v>
      </c>
      <c r="AT628" t="s">
        <v>8101</v>
      </c>
      <c r="AU628">
        <v>1998</v>
      </c>
      <c r="AV628">
        <v>61</v>
      </c>
      <c r="AW628" t="s">
        <v>1282</v>
      </c>
      <c r="AX628" t="s">
        <v>74</v>
      </c>
      <c r="AY628" t="s">
        <v>74</v>
      </c>
      <c r="AZ628" t="s">
        <v>74</v>
      </c>
      <c r="BA628" t="s">
        <v>74</v>
      </c>
      <c r="BB628">
        <v>185</v>
      </c>
      <c r="BC628">
        <v>201</v>
      </c>
      <c r="BD628" t="s">
        <v>74</v>
      </c>
      <c r="BE628" t="s">
        <v>8596</v>
      </c>
      <c r="BF628" t="str">
        <f>HYPERLINK("http://dx.doi.org/10.1016/S0304-4203(98)00014-0","http://dx.doi.org/10.1016/S0304-4203(98)00014-0")</f>
        <v>http://dx.doi.org/10.1016/S0304-4203(98)00014-0</v>
      </c>
      <c r="BG628" t="s">
        <v>74</v>
      </c>
      <c r="BH628" t="s">
        <v>74</v>
      </c>
      <c r="BI628">
        <v>17</v>
      </c>
      <c r="BJ628" t="s">
        <v>5711</v>
      </c>
      <c r="BK628" t="s">
        <v>95</v>
      </c>
      <c r="BL628" t="s">
        <v>5712</v>
      </c>
      <c r="BM628" t="s">
        <v>8597</v>
      </c>
      <c r="BN628" t="s">
        <v>74</v>
      </c>
      <c r="BO628" t="s">
        <v>1005</v>
      </c>
      <c r="BP628" t="s">
        <v>74</v>
      </c>
      <c r="BQ628" t="s">
        <v>74</v>
      </c>
      <c r="BR628" t="s">
        <v>98</v>
      </c>
      <c r="BS628" t="s">
        <v>8598</v>
      </c>
      <c r="BT628" t="str">
        <f>HYPERLINK("https%3A%2F%2Fwww.webofscience.com%2Fwos%2Fwoscc%2Ffull-record%2FWOS:000074361800007","View Full Record in Web of Science")</f>
        <v>View Full Record in Web of Science</v>
      </c>
    </row>
    <row r="629" spans="1:72" x14ac:dyDescent="0.15">
      <c r="A629" t="s">
        <v>72</v>
      </c>
      <c r="B629" t="s">
        <v>8599</v>
      </c>
      <c r="C629" t="s">
        <v>74</v>
      </c>
      <c r="D629" t="s">
        <v>74</v>
      </c>
      <c r="E629" t="s">
        <v>74</v>
      </c>
      <c r="F629" t="s">
        <v>8599</v>
      </c>
      <c r="G629" t="s">
        <v>74</v>
      </c>
      <c r="H629" t="s">
        <v>74</v>
      </c>
      <c r="I629" t="s">
        <v>8600</v>
      </c>
      <c r="J629" t="s">
        <v>5697</v>
      </c>
      <c r="K629" t="s">
        <v>74</v>
      </c>
      <c r="L629" t="s">
        <v>74</v>
      </c>
      <c r="M629" t="s">
        <v>77</v>
      </c>
      <c r="N629" t="s">
        <v>103</v>
      </c>
      <c r="O629" t="s">
        <v>74</v>
      </c>
      <c r="P629" t="s">
        <v>74</v>
      </c>
      <c r="Q629" t="s">
        <v>74</v>
      </c>
      <c r="R629" t="s">
        <v>74</v>
      </c>
      <c r="S629" t="s">
        <v>74</v>
      </c>
      <c r="T629" t="s">
        <v>8601</v>
      </c>
      <c r="U629" t="s">
        <v>8602</v>
      </c>
      <c r="V629" t="s">
        <v>8603</v>
      </c>
      <c r="W629" t="s">
        <v>8604</v>
      </c>
      <c r="X629" t="s">
        <v>8224</v>
      </c>
      <c r="Y629" t="s">
        <v>8605</v>
      </c>
      <c r="Z629" t="s">
        <v>1793</v>
      </c>
      <c r="AA629" t="s">
        <v>8606</v>
      </c>
      <c r="AB629" t="s">
        <v>8607</v>
      </c>
      <c r="AC629" t="s">
        <v>74</v>
      </c>
      <c r="AD629" t="s">
        <v>74</v>
      </c>
      <c r="AE629" t="s">
        <v>74</v>
      </c>
      <c r="AF629" t="s">
        <v>74</v>
      </c>
      <c r="AG629">
        <v>35</v>
      </c>
      <c r="AH629">
        <v>61</v>
      </c>
      <c r="AI629">
        <v>67</v>
      </c>
      <c r="AJ629">
        <v>1</v>
      </c>
      <c r="AK629">
        <v>16</v>
      </c>
      <c r="AL629" t="s">
        <v>1037</v>
      </c>
      <c r="AM629" t="s">
        <v>1038</v>
      </c>
      <c r="AN629" t="s">
        <v>1039</v>
      </c>
      <c r="AO629" t="s">
        <v>5706</v>
      </c>
      <c r="AP629" t="s">
        <v>74</v>
      </c>
      <c r="AQ629" t="s">
        <v>74</v>
      </c>
      <c r="AR629" t="s">
        <v>5708</v>
      </c>
      <c r="AS629" t="s">
        <v>5709</v>
      </c>
      <c r="AT629" t="s">
        <v>8101</v>
      </c>
      <c r="AU629">
        <v>1998</v>
      </c>
      <c r="AV629">
        <v>61</v>
      </c>
      <c r="AW629" t="s">
        <v>1282</v>
      </c>
      <c r="AX629" t="s">
        <v>74</v>
      </c>
      <c r="AY629" t="s">
        <v>74</v>
      </c>
      <c r="AZ629" t="s">
        <v>74</v>
      </c>
      <c r="BA629" t="s">
        <v>74</v>
      </c>
      <c r="BB629">
        <v>219</v>
      </c>
      <c r="BC629">
        <v>228</v>
      </c>
      <c r="BD629" t="s">
        <v>74</v>
      </c>
      <c r="BE629" t="s">
        <v>8608</v>
      </c>
      <c r="BF629" t="str">
        <f>HYPERLINK("http://dx.doi.org/10.1016/S0304-4203(98)00013-9","http://dx.doi.org/10.1016/S0304-4203(98)00013-9")</f>
        <v>http://dx.doi.org/10.1016/S0304-4203(98)00013-9</v>
      </c>
      <c r="BG629" t="s">
        <v>74</v>
      </c>
      <c r="BH629" t="s">
        <v>74</v>
      </c>
      <c r="BI629">
        <v>10</v>
      </c>
      <c r="BJ629" t="s">
        <v>5711</v>
      </c>
      <c r="BK629" t="s">
        <v>95</v>
      </c>
      <c r="BL629" t="s">
        <v>5712</v>
      </c>
      <c r="BM629" t="s">
        <v>8597</v>
      </c>
      <c r="BN629" t="s">
        <v>74</v>
      </c>
      <c r="BO629" t="s">
        <v>74</v>
      </c>
      <c r="BP629" t="s">
        <v>74</v>
      </c>
      <c r="BQ629" t="s">
        <v>74</v>
      </c>
      <c r="BR629" t="s">
        <v>98</v>
      </c>
      <c r="BS629" t="s">
        <v>8609</v>
      </c>
      <c r="BT629" t="str">
        <f>HYPERLINK("https%3A%2F%2Fwww.webofscience.com%2Fwos%2Fwoscc%2Ffull-record%2FWOS:000074361800010","View Full Record in Web of Science")</f>
        <v>View Full Record in Web of Science</v>
      </c>
    </row>
    <row r="630" spans="1:72" x14ac:dyDescent="0.15">
      <c r="A630" t="s">
        <v>72</v>
      </c>
      <c r="B630" t="s">
        <v>8610</v>
      </c>
      <c r="C630" t="s">
        <v>74</v>
      </c>
      <c r="D630" t="s">
        <v>74</v>
      </c>
      <c r="E630" t="s">
        <v>74</v>
      </c>
      <c r="F630" t="s">
        <v>8610</v>
      </c>
      <c r="G630" t="s">
        <v>74</v>
      </c>
      <c r="H630" t="s">
        <v>74</v>
      </c>
      <c r="I630" t="s">
        <v>8611</v>
      </c>
      <c r="J630" t="s">
        <v>4502</v>
      </c>
      <c r="K630" t="s">
        <v>74</v>
      </c>
      <c r="L630" t="s">
        <v>74</v>
      </c>
      <c r="M630" t="s">
        <v>77</v>
      </c>
      <c r="N630" t="s">
        <v>103</v>
      </c>
      <c r="O630" t="s">
        <v>74</v>
      </c>
      <c r="P630" t="s">
        <v>74</v>
      </c>
      <c r="Q630" t="s">
        <v>74</v>
      </c>
      <c r="R630" t="s">
        <v>74</v>
      </c>
      <c r="S630" t="s">
        <v>74</v>
      </c>
      <c r="T630" t="s">
        <v>8612</v>
      </c>
      <c r="U630" t="s">
        <v>8613</v>
      </c>
      <c r="V630" t="s">
        <v>8614</v>
      </c>
      <c r="W630" t="s">
        <v>8615</v>
      </c>
      <c r="X630" t="s">
        <v>8616</v>
      </c>
      <c r="Y630" t="s">
        <v>8617</v>
      </c>
      <c r="Z630" t="s">
        <v>8618</v>
      </c>
      <c r="AA630" t="s">
        <v>8619</v>
      </c>
      <c r="AB630" t="s">
        <v>8620</v>
      </c>
      <c r="AC630" t="s">
        <v>74</v>
      </c>
      <c r="AD630" t="s">
        <v>74</v>
      </c>
      <c r="AE630" t="s">
        <v>74</v>
      </c>
      <c r="AF630" t="s">
        <v>74</v>
      </c>
      <c r="AG630">
        <v>42</v>
      </c>
      <c r="AH630">
        <v>39</v>
      </c>
      <c r="AI630">
        <v>40</v>
      </c>
      <c r="AJ630">
        <v>0</v>
      </c>
      <c r="AK630">
        <v>6</v>
      </c>
      <c r="AL630" t="s">
        <v>1037</v>
      </c>
      <c r="AM630" t="s">
        <v>1038</v>
      </c>
      <c r="AN630" t="s">
        <v>1039</v>
      </c>
      <c r="AO630" t="s">
        <v>4509</v>
      </c>
      <c r="AP630" t="s">
        <v>7801</v>
      </c>
      <c r="AQ630" t="s">
        <v>74</v>
      </c>
      <c r="AR630" t="s">
        <v>4510</v>
      </c>
      <c r="AS630" t="s">
        <v>4511</v>
      </c>
      <c r="AT630" t="s">
        <v>8101</v>
      </c>
      <c r="AU630">
        <v>1998</v>
      </c>
      <c r="AV630">
        <v>149</v>
      </c>
      <c r="AW630" t="s">
        <v>5317</v>
      </c>
      <c r="AX630" t="s">
        <v>74</v>
      </c>
      <c r="AY630" t="s">
        <v>74</v>
      </c>
      <c r="AZ630" t="s">
        <v>74</v>
      </c>
      <c r="BA630" t="s">
        <v>74</v>
      </c>
      <c r="BB630">
        <v>17</v>
      </c>
      <c r="BC630">
        <v>38</v>
      </c>
      <c r="BD630" t="s">
        <v>74</v>
      </c>
      <c r="BE630" t="s">
        <v>8621</v>
      </c>
      <c r="BF630" t="str">
        <f>HYPERLINK("http://dx.doi.org/10.1016/S0025-3227(98)00038-3","http://dx.doi.org/10.1016/S0025-3227(98)00038-3")</f>
        <v>http://dx.doi.org/10.1016/S0025-3227(98)00038-3</v>
      </c>
      <c r="BG630" t="s">
        <v>74</v>
      </c>
      <c r="BH630" t="s">
        <v>74</v>
      </c>
      <c r="BI630">
        <v>22</v>
      </c>
      <c r="BJ630" t="s">
        <v>893</v>
      </c>
      <c r="BK630" t="s">
        <v>95</v>
      </c>
      <c r="BL630" t="s">
        <v>894</v>
      </c>
      <c r="BM630" t="s">
        <v>8622</v>
      </c>
      <c r="BN630" t="s">
        <v>74</v>
      </c>
      <c r="BO630" t="s">
        <v>74</v>
      </c>
      <c r="BP630" t="s">
        <v>74</v>
      </c>
      <c r="BQ630" t="s">
        <v>74</v>
      </c>
      <c r="BR630" t="s">
        <v>98</v>
      </c>
      <c r="BS630" t="s">
        <v>8623</v>
      </c>
      <c r="BT630" t="str">
        <f>HYPERLINK("https%3A%2F%2Fwww.webofscience.com%2Fwos%2Fwoscc%2Ffull-record%2FWOS:000075037800002","View Full Record in Web of Science")</f>
        <v>View Full Record in Web of Science</v>
      </c>
    </row>
    <row r="631" spans="1:72" x14ac:dyDescent="0.15">
      <c r="A631" t="s">
        <v>72</v>
      </c>
      <c r="B631" t="s">
        <v>8624</v>
      </c>
      <c r="C631" t="s">
        <v>74</v>
      </c>
      <c r="D631" t="s">
        <v>74</v>
      </c>
      <c r="E631" t="s">
        <v>74</v>
      </c>
      <c r="F631" t="s">
        <v>8624</v>
      </c>
      <c r="G631" t="s">
        <v>74</v>
      </c>
      <c r="H631" t="s">
        <v>74</v>
      </c>
      <c r="I631" t="s">
        <v>8625</v>
      </c>
      <c r="J631" t="s">
        <v>4502</v>
      </c>
      <c r="K631" t="s">
        <v>74</v>
      </c>
      <c r="L631" t="s">
        <v>74</v>
      </c>
      <c r="M631" t="s">
        <v>77</v>
      </c>
      <c r="N631" t="s">
        <v>103</v>
      </c>
      <c r="O631" t="s">
        <v>74</v>
      </c>
      <c r="P631" t="s">
        <v>74</v>
      </c>
      <c r="Q631" t="s">
        <v>74</v>
      </c>
      <c r="R631" t="s">
        <v>74</v>
      </c>
      <c r="S631" t="s">
        <v>74</v>
      </c>
      <c r="T631" t="s">
        <v>8626</v>
      </c>
      <c r="U631" t="s">
        <v>8627</v>
      </c>
      <c r="V631" t="s">
        <v>8628</v>
      </c>
      <c r="W631" t="s">
        <v>8629</v>
      </c>
      <c r="X631" t="s">
        <v>8630</v>
      </c>
      <c r="Y631" t="s">
        <v>545</v>
      </c>
      <c r="Z631" t="s">
        <v>8631</v>
      </c>
      <c r="AA631" t="s">
        <v>8632</v>
      </c>
      <c r="AB631" t="s">
        <v>74</v>
      </c>
      <c r="AC631" t="s">
        <v>74</v>
      </c>
      <c r="AD631" t="s">
        <v>74</v>
      </c>
      <c r="AE631" t="s">
        <v>74</v>
      </c>
      <c r="AF631" t="s">
        <v>74</v>
      </c>
      <c r="AG631">
        <v>44</v>
      </c>
      <c r="AH631">
        <v>20</v>
      </c>
      <c r="AI631">
        <v>28</v>
      </c>
      <c r="AJ631">
        <v>0</v>
      </c>
      <c r="AK631">
        <v>5</v>
      </c>
      <c r="AL631" t="s">
        <v>1037</v>
      </c>
      <c r="AM631" t="s">
        <v>1038</v>
      </c>
      <c r="AN631" t="s">
        <v>1039</v>
      </c>
      <c r="AO631" t="s">
        <v>4509</v>
      </c>
      <c r="AP631" t="s">
        <v>7801</v>
      </c>
      <c r="AQ631" t="s">
        <v>74</v>
      </c>
      <c r="AR631" t="s">
        <v>4510</v>
      </c>
      <c r="AS631" t="s">
        <v>4511</v>
      </c>
      <c r="AT631" t="s">
        <v>8101</v>
      </c>
      <c r="AU631">
        <v>1998</v>
      </c>
      <c r="AV631">
        <v>149</v>
      </c>
      <c r="AW631" t="s">
        <v>5317</v>
      </c>
      <c r="AX631" t="s">
        <v>74</v>
      </c>
      <c r="AY631" t="s">
        <v>74</v>
      </c>
      <c r="AZ631" t="s">
        <v>74</v>
      </c>
      <c r="BA631" t="s">
        <v>74</v>
      </c>
      <c r="BB631">
        <v>229</v>
      </c>
      <c r="BC631">
        <v>241</v>
      </c>
      <c r="BD631" t="s">
        <v>74</v>
      </c>
      <c r="BE631" t="s">
        <v>8633</v>
      </c>
      <c r="BF631" t="str">
        <f>HYPERLINK("http://dx.doi.org/10.1016/S0025-3227(98)00036-X","http://dx.doi.org/10.1016/S0025-3227(98)00036-X")</f>
        <v>http://dx.doi.org/10.1016/S0025-3227(98)00036-X</v>
      </c>
      <c r="BG631" t="s">
        <v>74</v>
      </c>
      <c r="BH631" t="s">
        <v>74</v>
      </c>
      <c r="BI631">
        <v>13</v>
      </c>
      <c r="BJ631" t="s">
        <v>893</v>
      </c>
      <c r="BK631" t="s">
        <v>95</v>
      </c>
      <c r="BL631" t="s">
        <v>894</v>
      </c>
      <c r="BM631" t="s">
        <v>8622</v>
      </c>
      <c r="BN631" t="s">
        <v>74</v>
      </c>
      <c r="BO631" t="s">
        <v>74</v>
      </c>
      <c r="BP631" t="s">
        <v>74</v>
      </c>
      <c r="BQ631" t="s">
        <v>74</v>
      </c>
      <c r="BR631" t="s">
        <v>98</v>
      </c>
      <c r="BS631" t="s">
        <v>8634</v>
      </c>
      <c r="BT631" t="str">
        <f>HYPERLINK("https%3A%2F%2Fwww.webofscience.com%2Fwos%2Fwoscc%2Ffull-record%2FWOS:000075037800013","View Full Record in Web of Science")</f>
        <v>View Full Record in Web of Science</v>
      </c>
    </row>
    <row r="632" spans="1:72" x14ac:dyDescent="0.15">
      <c r="A632" t="s">
        <v>72</v>
      </c>
      <c r="B632" t="s">
        <v>8635</v>
      </c>
      <c r="C632" t="s">
        <v>74</v>
      </c>
      <c r="D632" t="s">
        <v>74</v>
      </c>
      <c r="E632" t="s">
        <v>74</v>
      </c>
      <c r="F632" t="s">
        <v>8635</v>
      </c>
      <c r="G632" t="s">
        <v>74</v>
      </c>
      <c r="H632" t="s">
        <v>74</v>
      </c>
      <c r="I632" t="s">
        <v>8636</v>
      </c>
      <c r="J632" t="s">
        <v>2184</v>
      </c>
      <c r="K632" t="s">
        <v>74</v>
      </c>
      <c r="L632" t="s">
        <v>74</v>
      </c>
      <c r="M632" t="s">
        <v>77</v>
      </c>
      <c r="N632" t="s">
        <v>2185</v>
      </c>
      <c r="O632" t="s">
        <v>74</v>
      </c>
      <c r="P632" t="s">
        <v>74</v>
      </c>
      <c r="Q632" t="s">
        <v>74</v>
      </c>
      <c r="R632" t="s">
        <v>74</v>
      </c>
      <c r="S632" t="s">
        <v>74</v>
      </c>
      <c r="T632" t="s">
        <v>74</v>
      </c>
      <c r="U632" t="s">
        <v>74</v>
      </c>
      <c r="V632" t="s">
        <v>74</v>
      </c>
      <c r="W632" t="s">
        <v>74</v>
      </c>
      <c r="X632" t="s">
        <v>74</v>
      </c>
      <c r="Y632" t="s">
        <v>74</v>
      </c>
      <c r="Z632" t="s">
        <v>74</v>
      </c>
      <c r="AA632" t="s">
        <v>74</v>
      </c>
      <c r="AB632" t="s">
        <v>74</v>
      </c>
      <c r="AC632" t="s">
        <v>74</v>
      </c>
      <c r="AD632" t="s">
        <v>74</v>
      </c>
      <c r="AE632" t="s">
        <v>74</v>
      </c>
      <c r="AF632" t="s">
        <v>74</v>
      </c>
      <c r="AG632">
        <v>0</v>
      </c>
      <c r="AH632">
        <v>0</v>
      </c>
      <c r="AI632">
        <v>0</v>
      </c>
      <c r="AJ632">
        <v>0</v>
      </c>
      <c r="AK632">
        <v>0</v>
      </c>
      <c r="AL632" t="s">
        <v>445</v>
      </c>
      <c r="AM632" t="s">
        <v>229</v>
      </c>
      <c r="AN632" t="s">
        <v>446</v>
      </c>
      <c r="AO632" t="s">
        <v>2186</v>
      </c>
      <c r="AP632" t="s">
        <v>2187</v>
      </c>
      <c r="AQ632" t="s">
        <v>74</v>
      </c>
      <c r="AR632" t="s">
        <v>2188</v>
      </c>
      <c r="AS632" t="s">
        <v>2189</v>
      </c>
      <c r="AT632" t="s">
        <v>8101</v>
      </c>
      <c r="AU632">
        <v>1998</v>
      </c>
      <c r="AV632">
        <v>36</v>
      </c>
      <c r="AW632">
        <v>8</v>
      </c>
      <c r="AX632" t="s">
        <v>74</v>
      </c>
      <c r="AY632" t="s">
        <v>74</v>
      </c>
      <c r="AZ632" t="s">
        <v>74</v>
      </c>
      <c r="BA632" t="s">
        <v>74</v>
      </c>
      <c r="BB632">
        <v>563</v>
      </c>
      <c r="BC632">
        <v>563</v>
      </c>
      <c r="BD632" t="s">
        <v>74</v>
      </c>
      <c r="BE632" t="s">
        <v>74</v>
      </c>
      <c r="BF632" t="s">
        <v>74</v>
      </c>
      <c r="BG632" t="s">
        <v>74</v>
      </c>
      <c r="BH632" t="s">
        <v>74</v>
      </c>
      <c r="BI632">
        <v>1</v>
      </c>
      <c r="BJ632" t="s">
        <v>2190</v>
      </c>
      <c r="BK632" t="s">
        <v>95</v>
      </c>
      <c r="BL632" t="s">
        <v>2191</v>
      </c>
      <c r="BM632" t="s">
        <v>8637</v>
      </c>
      <c r="BN632" t="s">
        <v>74</v>
      </c>
      <c r="BO632" t="s">
        <v>74</v>
      </c>
      <c r="BP632" t="s">
        <v>74</v>
      </c>
      <c r="BQ632" t="s">
        <v>74</v>
      </c>
      <c r="BR632" t="s">
        <v>98</v>
      </c>
      <c r="BS632" t="s">
        <v>8638</v>
      </c>
      <c r="BT632" t="str">
        <f>HYPERLINK("https%3A%2F%2Fwww.webofscience.com%2Fwos%2Fwoscc%2Ffull-record%2FWOS:000075806800005","View Full Record in Web of Science")</f>
        <v>View Full Record in Web of Science</v>
      </c>
    </row>
    <row r="633" spans="1:72" x14ac:dyDescent="0.15">
      <c r="A633" t="s">
        <v>72</v>
      </c>
      <c r="B633" t="s">
        <v>8639</v>
      </c>
      <c r="C633" t="s">
        <v>74</v>
      </c>
      <c r="D633" t="s">
        <v>74</v>
      </c>
      <c r="E633" t="s">
        <v>74</v>
      </c>
      <c r="F633" t="s">
        <v>8639</v>
      </c>
      <c r="G633" t="s">
        <v>74</v>
      </c>
      <c r="H633" t="s">
        <v>74</v>
      </c>
      <c r="I633" t="s">
        <v>8640</v>
      </c>
      <c r="J633" t="s">
        <v>2184</v>
      </c>
      <c r="K633" t="s">
        <v>74</v>
      </c>
      <c r="L633" t="s">
        <v>74</v>
      </c>
      <c r="M633" t="s">
        <v>77</v>
      </c>
      <c r="N633" t="s">
        <v>103</v>
      </c>
      <c r="O633" t="s">
        <v>74</v>
      </c>
      <c r="P633" t="s">
        <v>74</v>
      </c>
      <c r="Q633" t="s">
        <v>74</v>
      </c>
      <c r="R633" t="s">
        <v>74</v>
      </c>
      <c r="S633" t="s">
        <v>74</v>
      </c>
      <c r="T633" t="s">
        <v>8641</v>
      </c>
      <c r="U633" t="s">
        <v>74</v>
      </c>
      <c r="V633" t="s">
        <v>8642</v>
      </c>
      <c r="W633" t="s">
        <v>8643</v>
      </c>
      <c r="X633" t="s">
        <v>8644</v>
      </c>
      <c r="Y633" t="s">
        <v>8645</v>
      </c>
      <c r="Z633" t="s">
        <v>74</v>
      </c>
      <c r="AA633" t="s">
        <v>8646</v>
      </c>
      <c r="AB633" t="s">
        <v>8647</v>
      </c>
      <c r="AC633" t="s">
        <v>74</v>
      </c>
      <c r="AD633" t="s">
        <v>74</v>
      </c>
      <c r="AE633" t="s">
        <v>74</v>
      </c>
      <c r="AF633" t="s">
        <v>74</v>
      </c>
      <c r="AG633">
        <v>25</v>
      </c>
      <c r="AH633">
        <v>17</v>
      </c>
      <c r="AI633">
        <v>17</v>
      </c>
      <c r="AJ633">
        <v>0</v>
      </c>
      <c r="AK633">
        <v>3</v>
      </c>
      <c r="AL633" t="s">
        <v>445</v>
      </c>
      <c r="AM633" t="s">
        <v>229</v>
      </c>
      <c r="AN633" t="s">
        <v>446</v>
      </c>
      <c r="AO633" t="s">
        <v>2186</v>
      </c>
      <c r="AP633" t="s">
        <v>2187</v>
      </c>
      <c r="AQ633" t="s">
        <v>74</v>
      </c>
      <c r="AR633" t="s">
        <v>2188</v>
      </c>
      <c r="AS633" t="s">
        <v>2189</v>
      </c>
      <c r="AT633" t="s">
        <v>8101</v>
      </c>
      <c r="AU633">
        <v>1998</v>
      </c>
      <c r="AV633">
        <v>36</v>
      </c>
      <c r="AW633">
        <v>8</v>
      </c>
      <c r="AX633" t="s">
        <v>74</v>
      </c>
      <c r="AY633" t="s">
        <v>74</v>
      </c>
      <c r="AZ633" t="s">
        <v>74</v>
      </c>
      <c r="BA633" t="s">
        <v>74</v>
      </c>
      <c r="BB633">
        <v>569</v>
      </c>
      <c r="BC633">
        <v>576</v>
      </c>
      <c r="BD633" t="s">
        <v>74</v>
      </c>
      <c r="BE633" t="s">
        <v>8648</v>
      </c>
      <c r="BF633" t="str">
        <f>HYPERLINK("http://dx.doi.org/10.1016/S0025-326X(98)00004-6","http://dx.doi.org/10.1016/S0025-326X(98)00004-6")</f>
        <v>http://dx.doi.org/10.1016/S0025-326X(98)00004-6</v>
      </c>
      <c r="BG633" t="s">
        <v>74</v>
      </c>
      <c r="BH633" t="s">
        <v>74</v>
      </c>
      <c r="BI633">
        <v>8</v>
      </c>
      <c r="BJ633" t="s">
        <v>2190</v>
      </c>
      <c r="BK633" t="s">
        <v>95</v>
      </c>
      <c r="BL633" t="s">
        <v>2191</v>
      </c>
      <c r="BM633" t="s">
        <v>8637</v>
      </c>
      <c r="BN633" t="s">
        <v>74</v>
      </c>
      <c r="BO633" t="s">
        <v>74</v>
      </c>
      <c r="BP633" t="s">
        <v>74</v>
      </c>
      <c r="BQ633" t="s">
        <v>74</v>
      </c>
      <c r="BR633" t="s">
        <v>98</v>
      </c>
      <c r="BS633" t="s">
        <v>8649</v>
      </c>
      <c r="BT633" t="str">
        <f>HYPERLINK("https%3A%2F%2Fwww.webofscience.com%2Fwos%2Fwoscc%2Ffull-record%2FWOS:000075806800013","View Full Record in Web of Science")</f>
        <v>View Full Record in Web of Science</v>
      </c>
    </row>
    <row r="634" spans="1:72" x14ac:dyDescent="0.15">
      <c r="A634" t="s">
        <v>72</v>
      </c>
      <c r="B634" t="s">
        <v>8650</v>
      </c>
      <c r="C634" t="s">
        <v>74</v>
      </c>
      <c r="D634" t="s">
        <v>74</v>
      </c>
      <c r="E634" t="s">
        <v>74</v>
      </c>
      <c r="F634" t="s">
        <v>8650</v>
      </c>
      <c r="G634" t="s">
        <v>74</v>
      </c>
      <c r="H634" t="s">
        <v>74</v>
      </c>
      <c r="I634" t="s">
        <v>8651</v>
      </c>
      <c r="J634" t="s">
        <v>8652</v>
      </c>
      <c r="K634" t="s">
        <v>74</v>
      </c>
      <c r="L634" t="s">
        <v>74</v>
      </c>
      <c r="M634" t="s">
        <v>77</v>
      </c>
      <c r="N634" t="s">
        <v>103</v>
      </c>
      <c r="O634" t="s">
        <v>74</v>
      </c>
      <c r="P634" t="s">
        <v>74</v>
      </c>
      <c r="Q634" t="s">
        <v>74</v>
      </c>
      <c r="R634" t="s">
        <v>74</v>
      </c>
      <c r="S634" t="s">
        <v>74</v>
      </c>
      <c r="T634" t="s">
        <v>8653</v>
      </c>
      <c r="U634" t="s">
        <v>8654</v>
      </c>
      <c r="V634" t="s">
        <v>8655</v>
      </c>
      <c r="W634" t="s">
        <v>8656</v>
      </c>
      <c r="X634" t="s">
        <v>8657</v>
      </c>
      <c r="Y634" t="s">
        <v>8658</v>
      </c>
      <c r="Z634" t="s">
        <v>74</v>
      </c>
      <c r="AA634" t="s">
        <v>8659</v>
      </c>
      <c r="AB634" t="s">
        <v>8660</v>
      </c>
      <c r="AC634" t="s">
        <v>74</v>
      </c>
      <c r="AD634" t="s">
        <v>74</v>
      </c>
      <c r="AE634" t="s">
        <v>74</v>
      </c>
      <c r="AF634" t="s">
        <v>74</v>
      </c>
      <c r="AG634">
        <v>49</v>
      </c>
      <c r="AH634">
        <v>14</v>
      </c>
      <c r="AI634">
        <v>14</v>
      </c>
      <c r="AJ634">
        <v>0</v>
      </c>
      <c r="AK634">
        <v>1</v>
      </c>
      <c r="AL634" t="s">
        <v>8661</v>
      </c>
      <c r="AM634" t="s">
        <v>2409</v>
      </c>
      <c r="AN634" t="s">
        <v>8662</v>
      </c>
      <c r="AO634" t="s">
        <v>8663</v>
      </c>
      <c r="AP634" t="s">
        <v>74</v>
      </c>
      <c r="AQ634" t="s">
        <v>74</v>
      </c>
      <c r="AR634" t="s">
        <v>8664</v>
      </c>
      <c r="AS634" t="s">
        <v>8665</v>
      </c>
      <c r="AT634" t="s">
        <v>8101</v>
      </c>
      <c r="AU634">
        <v>1998</v>
      </c>
      <c r="AV634">
        <v>174</v>
      </c>
      <c r="AW634">
        <v>1</v>
      </c>
      <c r="AX634" t="s">
        <v>74</v>
      </c>
      <c r="AY634" t="s">
        <v>74</v>
      </c>
      <c r="AZ634" t="s">
        <v>74</v>
      </c>
      <c r="BA634" t="s">
        <v>74</v>
      </c>
      <c r="BB634">
        <v>79</v>
      </c>
      <c r="BC634">
        <v>102</v>
      </c>
      <c r="BD634" t="s">
        <v>74</v>
      </c>
      <c r="BE634" t="s">
        <v>74</v>
      </c>
      <c r="BF634" t="s">
        <v>74</v>
      </c>
      <c r="BG634" t="s">
        <v>74</v>
      </c>
      <c r="BH634" t="s">
        <v>74</v>
      </c>
      <c r="BI634">
        <v>24</v>
      </c>
      <c r="BJ634" t="s">
        <v>8666</v>
      </c>
      <c r="BK634" t="s">
        <v>95</v>
      </c>
      <c r="BL634" t="s">
        <v>8666</v>
      </c>
      <c r="BM634" t="s">
        <v>8667</v>
      </c>
      <c r="BN634" t="s">
        <v>74</v>
      </c>
      <c r="BO634" t="s">
        <v>74</v>
      </c>
      <c r="BP634" t="s">
        <v>74</v>
      </c>
      <c r="BQ634" t="s">
        <v>74</v>
      </c>
      <c r="BR634" t="s">
        <v>98</v>
      </c>
      <c r="BS634" t="s">
        <v>8668</v>
      </c>
      <c r="BT634" t="str">
        <f>HYPERLINK("https%3A%2F%2Fwww.webofscience.com%2Fwos%2Fwoscc%2Ffull-record%2FWOS:000075587900003","View Full Record in Web of Science")</f>
        <v>View Full Record in Web of Science</v>
      </c>
    </row>
    <row r="635" spans="1:72" x14ac:dyDescent="0.15">
      <c r="A635" t="s">
        <v>72</v>
      </c>
      <c r="B635" t="s">
        <v>8669</v>
      </c>
      <c r="C635" t="s">
        <v>74</v>
      </c>
      <c r="D635" t="s">
        <v>74</v>
      </c>
      <c r="E635" t="s">
        <v>74</v>
      </c>
      <c r="F635" t="s">
        <v>8669</v>
      </c>
      <c r="G635" t="s">
        <v>74</v>
      </c>
      <c r="H635" t="s">
        <v>74</v>
      </c>
      <c r="I635" t="s">
        <v>8670</v>
      </c>
      <c r="J635" t="s">
        <v>8671</v>
      </c>
      <c r="K635" t="s">
        <v>74</v>
      </c>
      <c r="L635" t="s">
        <v>74</v>
      </c>
      <c r="M635" t="s">
        <v>77</v>
      </c>
      <c r="N635" t="s">
        <v>103</v>
      </c>
      <c r="O635" t="s">
        <v>74</v>
      </c>
      <c r="P635" t="s">
        <v>74</v>
      </c>
      <c r="Q635" t="s">
        <v>74</v>
      </c>
      <c r="R635" t="s">
        <v>74</v>
      </c>
      <c r="S635" t="s">
        <v>74</v>
      </c>
      <c r="T635" t="s">
        <v>74</v>
      </c>
      <c r="U635" t="s">
        <v>8672</v>
      </c>
      <c r="V635" t="s">
        <v>8673</v>
      </c>
      <c r="W635" t="s">
        <v>8674</v>
      </c>
      <c r="X635" t="s">
        <v>8675</v>
      </c>
      <c r="Y635" t="s">
        <v>8676</v>
      </c>
      <c r="Z635" t="s">
        <v>8677</v>
      </c>
      <c r="AA635" t="s">
        <v>74</v>
      </c>
      <c r="AB635" t="s">
        <v>74</v>
      </c>
      <c r="AC635" t="s">
        <v>74</v>
      </c>
      <c r="AD635" t="s">
        <v>74</v>
      </c>
      <c r="AE635" t="s">
        <v>74</v>
      </c>
      <c r="AF635" t="s">
        <v>74</v>
      </c>
      <c r="AG635">
        <v>74</v>
      </c>
      <c r="AH635">
        <v>41</v>
      </c>
      <c r="AI635">
        <v>46</v>
      </c>
      <c r="AJ635">
        <v>0</v>
      </c>
      <c r="AK635">
        <v>21</v>
      </c>
      <c r="AL635" t="s">
        <v>655</v>
      </c>
      <c r="AM635" t="s">
        <v>656</v>
      </c>
      <c r="AN635" t="s">
        <v>657</v>
      </c>
      <c r="AO635" t="s">
        <v>8678</v>
      </c>
      <c r="AP635" t="s">
        <v>8679</v>
      </c>
      <c r="AQ635" t="s">
        <v>74</v>
      </c>
      <c r="AR635" t="s">
        <v>8680</v>
      </c>
      <c r="AS635" t="s">
        <v>8681</v>
      </c>
      <c r="AT635" t="s">
        <v>8101</v>
      </c>
      <c r="AU635">
        <v>1998</v>
      </c>
      <c r="AV635">
        <v>139</v>
      </c>
      <c r="AW635">
        <v>4</v>
      </c>
      <c r="AX635" t="s">
        <v>74</v>
      </c>
      <c r="AY635" t="s">
        <v>74</v>
      </c>
      <c r="AZ635" t="s">
        <v>74</v>
      </c>
      <c r="BA635" t="s">
        <v>74</v>
      </c>
      <c r="BB635">
        <v>697</v>
      </c>
      <c r="BC635">
        <v>707</v>
      </c>
      <c r="BD635" t="s">
        <v>74</v>
      </c>
      <c r="BE635" t="s">
        <v>8682</v>
      </c>
      <c r="BF635" t="str">
        <f>HYPERLINK("http://dx.doi.org/10.1046/j.1469-8137.1998.00236.x","http://dx.doi.org/10.1046/j.1469-8137.1998.00236.x")</f>
        <v>http://dx.doi.org/10.1046/j.1469-8137.1998.00236.x</v>
      </c>
      <c r="BG635" t="s">
        <v>74</v>
      </c>
      <c r="BH635" t="s">
        <v>74</v>
      </c>
      <c r="BI635">
        <v>11</v>
      </c>
      <c r="BJ635" t="s">
        <v>382</v>
      </c>
      <c r="BK635" t="s">
        <v>95</v>
      </c>
      <c r="BL635" t="s">
        <v>382</v>
      </c>
      <c r="BM635" t="s">
        <v>8683</v>
      </c>
      <c r="BN635" t="s">
        <v>74</v>
      </c>
      <c r="BO635" t="s">
        <v>74</v>
      </c>
      <c r="BP635" t="s">
        <v>74</v>
      </c>
      <c r="BQ635" t="s">
        <v>74</v>
      </c>
      <c r="BR635" t="s">
        <v>98</v>
      </c>
      <c r="BS635" t="s">
        <v>8684</v>
      </c>
      <c r="BT635" t="str">
        <f>HYPERLINK("https%3A%2F%2Fwww.webofscience.com%2Fwos%2Fwoscc%2Ffull-record%2FWOS:000075826300010","View Full Record in Web of Science")</f>
        <v>View Full Record in Web of Science</v>
      </c>
    </row>
    <row r="636" spans="1:72" x14ac:dyDescent="0.15">
      <c r="A636" t="s">
        <v>72</v>
      </c>
      <c r="B636" t="s">
        <v>8685</v>
      </c>
      <c r="C636" t="s">
        <v>74</v>
      </c>
      <c r="D636" t="s">
        <v>74</v>
      </c>
      <c r="E636" t="s">
        <v>74</v>
      </c>
      <c r="F636" t="s">
        <v>8685</v>
      </c>
      <c r="G636" t="s">
        <v>74</v>
      </c>
      <c r="H636" t="s">
        <v>74</v>
      </c>
      <c r="I636" t="s">
        <v>8686</v>
      </c>
      <c r="J636" t="s">
        <v>7861</v>
      </c>
      <c r="K636" t="s">
        <v>74</v>
      </c>
      <c r="L636" t="s">
        <v>74</v>
      </c>
      <c r="M636" t="s">
        <v>77</v>
      </c>
      <c r="N636" t="s">
        <v>103</v>
      </c>
      <c r="O636" t="s">
        <v>74</v>
      </c>
      <c r="P636" t="s">
        <v>74</v>
      </c>
      <c r="Q636" t="s">
        <v>74</v>
      </c>
      <c r="R636" t="s">
        <v>74</v>
      </c>
      <c r="S636" t="s">
        <v>74</v>
      </c>
      <c r="T636" t="s">
        <v>8687</v>
      </c>
      <c r="U636" t="s">
        <v>8688</v>
      </c>
      <c r="V636" t="s">
        <v>8689</v>
      </c>
      <c r="W636" t="s">
        <v>8690</v>
      </c>
      <c r="X636" t="s">
        <v>8691</v>
      </c>
      <c r="Y636" t="s">
        <v>8692</v>
      </c>
      <c r="Z636" t="s">
        <v>8693</v>
      </c>
      <c r="AA636" t="s">
        <v>8694</v>
      </c>
      <c r="AB636" t="s">
        <v>8695</v>
      </c>
      <c r="AC636" t="s">
        <v>74</v>
      </c>
      <c r="AD636" t="s">
        <v>74</v>
      </c>
      <c r="AE636" t="s">
        <v>74</v>
      </c>
      <c r="AF636" t="s">
        <v>74</v>
      </c>
      <c r="AG636">
        <v>84</v>
      </c>
      <c r="AH636">
        <v>11</v>
      </c>
      <c r="AI636">
        <v>12</v>
      </c>
      <c r="AJ636">
        <v>0</v>
      </c>
      <c r="AK636">
        <v>5</v>
      </c>
      <c r="AL636" t="s">
        <v>1037</v>
      </c>
      <c r="AM636" t="s">
        <v>1038</v>
      </c>
      <c r="AN636" t="s">
        <v>1039</v>
      </c>
      <c r="AO636" t="s">
        <v>7867</v>
      </c>
      <c r="AP636" t="s">
        <v>74</v>
      </c>
      <c r="AQ636" t="s">
        <v>74</v>
      </c>
      <c r="AR636" t="s">
        <v>7868</v>
      </c>
      <c r="AS636" t="s">
        <v>7869</v>
      </c>
      <c r="AT636" t="s">
        <v>8101</v>
      </c>
      <c r="AU636">
        <v>1998</v>
      </c>
      <c r="AV636">
        <v>141</v>
      </c>
      <c r="AW636" t="s">
        <v>412</v>
      </c>
      <c r="AX636" t="s">
        <v>74</v>
      </c>
      <c r="AY636" t="s">
        <v>74</v>
      </c>
      <c r="AZ636" t="s">
        <v>74</v>
      </c>
      <c r="BA636" t="s">
        <v>74</v>
      </c>
      <c r="BB636">
        <v>35</v>
      </c>
      <c r="BC636">
        <v>51</v>
      </c>
      <c r="BD636" t="s">
        <v>74</v>
      </c>
      <c r="BE636" t="s">
        <v>8696</v>
      </c>
      <c r="BF636" t="str">
        <f>HYPERLINK("http://dx.doi.org/10.1016/S0031-0182(98)00006-6","http://dx.doi.org/10.1016/S0031-0182(98)00006-6")</f>
        <v>http://dx.doi.org/10.1016/S0031-0182(98)00006-6</v>
      </c>
      <c r="BG636" t="s">
        <v>74</v>
      </c>
      <c r="BH636" t="s">
        <v>74</v>
      </c>
      <c r="BI636">
        <v>17</v>
      </c>
      <c r="BJ636" t="s">
        <v>7871</v>
      </c>
      <c r="BK636" t="s">
        <v>95</v>
      </c>
      <c r="BL636" t="s">
        <v>7872</v>
      </c>
      <c r="BM636" t="s">
        <v>8697</v>
      </c>
      <c r="BN636" t="s">
        <v>74</v>
      </c>
      <c r="BO636" t="s">
        <v>74</v>
      </c>
      <c r="BP636" t="s">
        <v>74</v>
      </c>
      <c r="BQ636" t="s">
        <v>74</v>
      </c>
      <c r="BR636" t="s">
        <v>98</v>
      </c>
      <c r="BS636" t="s">
        <v>8698</v>
      </c>
      <c r="BT636" t="str">
        <f>HYPERLINK("https%3A%2F%2Fwww.webofscience.com%2Fwos%2Fwoscc%2Ffull-record%2FWOS:000074619300003","View Full Record in Web of Science")</f>
        <v>View Full Record in Web of Science</v>
      </c>
    </row>
    <row r="637" spans="1:72" x14ac:dyDescent="0.15">
      <c r="A637" t="s">
        <v>72</v>
      </c>
      <c r="B637" t="s">
        <v>8699</v>
      </c>
      <c r="C637" t="s">
        <v>74</v>
      </c>
      <c r="D637" t="s">
        <v>74</v>
      </c>
      <c r="E637" t="s">
        <v>74</v>
      </c>
      <c r="F637" t="s">
        <v>8699</v>
      </c>
      <c r="G637" t="s">
        <v>74</v>
      </c>
      <c r="H637" t="s">
        <v>74</v>
      </c>
      <c r="I637" t="s">
        <v>8700</v>
      </c>
      <c r="J637" t="s">
        <v>4597</v>
      </c>
      <c r="K637" t="s">
        <v>74</v>
      </c>
      <c r="L637" t="s">
        <v>74</v>
      </c>
      <c r="M637" t="s">
        <v>77</v>
      </c>
      <c r="N637" t="s">
        <v>103</v>
      </c>
      <c r="O637" t="s">
        <v>74</v>
      </c>
      <c r="P637" t="s">
        <v>74</v>
      </c>
      <c r="Q637" t="s">
        <v>74</v>
      </c>
      <c r="R637" t="s">
        <v>74</v>
      </c>
      <c r="S637" t="s">
        <v>74</v>
      </c>
      <c r="T637" t="s">
        <v>74</v>
      </c>
      <c r="U637" t="s">
        <v>8701</v>
      </c>
      <c r="V637" t="s">
        <v>8702</v>
      </c>
      <c r="W637" t="s">
        <v>8703</v>
      </c>
      <c r="X637" t="s">
        <v>993</v>
      </c>
      <c r="Y637" t="s">
        <v>8704</v>
      </c>
      <c r="Z637" t="s">
        <v>8705</v>
      </c>
      <c r="AA637" t="s">
        <v>74</v>
      </c>
      <c r="AB637" t="s">
        <v>8706</v>
      </c>
      <c r="AC637" t="s">
        <v>74</v>
      </c>
      <c r="AD637" t="s">
        <v>74</v>
      </c>
      <c r="AE637" t="s">
        <v>74</v>
      </c>
      <c r="AF637" t="s">
        <v>74</v>
      </c>
      <c r="AG637">
        <v>93</v>
      </c>
      <c r="AH637">
        <v>290</v>
      </c>
      <c r="AI637">
        <v>319</v>
      </c>
      <c r="AJ637">
        <v>1</v>
      </c>
      <c r="AK637">
        <v>59</v>
      </c>
      <c r="AL637" t="s">
        <v>966</v>
      </c>
      <c r="AM637" t="s">
        <v>967</v>
      </c>
      <c r="AN637" t="s">
        <v>968</v>
      </c>
      <c r="AO637" t="s">
        <v>4606</v>
      </c>
      <c r="AP637" t="s">
        <v>4607</v>
      </c>
      <c r="AQ637" t="s">
        <v>74</v>
      </c>
      <c r="AR637" t="s">
        <v>4597</v>
      </c>
      <c r="AS637" t="s">
        <v>4608</v>
      </c>
      <c r="AT637" t="s">
        <v>8101</v>
      </c>
      <c r="AU637">
        <v>1998</v>
      </c>
      <c r="AV637">
        <v>13</v>
      </c>
      <c r="AW637">
        <v>4</v>
      </c>
      <c r="AX637" t="s">
        <v>74</v>
      </c>
      <c r="AY637" t="s">
        <v>74</v>
      </c>
      <c r="AZ637" t="s">
        <v>74</v>
      </c>
      <c r="BA637" t="s">
        <v>74</v>
      </c>
      <c r="BB637">
        <v>352</v>
      </c>
      <c r="BC637">
        <v>364</v>
      </c>
      <c r="BD637" t="s">
        <v>74</v>
      </c>
      <c r="BE637" t="s">
        <v>8707</v>
      </c>
      <c r="BF637" t="str">
        <f>HYPERLINK("http://dx.doi.org/10.1029/98PA00920","http://dx.doi.org/10.1029/98PA00920")</f>
        <v>http://dx.doi.org/10.1029/98PA00920</v>
      </c>
      <c r="BG637" t="s">
        <v>74</v>
      </c>
      <c r="BH637" t="s">
        <v>74</v>
      </c>
      <c r="BI637">
        <v>13</v>
      </c>
      <c r="BJ637" t="s">
        <v>4610</v>
      </c>
      <c r="BK637" t="s">
        <v>95</v>
      </c>
      <c r="BL637" t="s">
        <v>3306</v>
      </c>
      <c r="BM637" t="s">
        <v>8708</v>
      </c>
      <c r="BN637" t="s">
        <v>74</v>
      </c>
      <c r="BO637" t="s">
        <v>1089</v>
      </c>
      <c r="BP637" t="s">
        <v>74</v>
      </c>
      <c r="BQ637" t="s">
        <v>74</v>
      </c>
      <c r="BR637" t="s">
        <v>98</v>
      </c>
      <c r="BS637" t="s">
        <v>8709</v>
      </c>
      <c r="BT637" t="str">
        <f>HYPERLINK("https%3A%2F%2Fwww.webofscience.com%2Fwos%2Fwoscc%2Ffull-record%2FWOS:000075052700005","View Full Record in Web of Science")</f>
        <v>View Full Record in Web of Science</v>
      </c>
    </row>
    <row r="638" spans="1:72" x14ac:dyDescent="0.15">
      <c r="A638" t="s">
        <v>72</v>
      </c>
      <c r="B638" t="s">
        <v>8710</v>
      </c>
      <c r="C638" t="s">
        <v>74</v>
      </c>
      <c r="D638" t="s">
        <v>74</v>
      </c>
      <c r="E638" t="s">
        <v>74</v>
      </c>
      <c r="F638" t="s">
        <v>8710</v>
      </c>
      <c r="G638" t="s">
        <v>74</v>
      </c>
      <c r="H638" t="s">
        <v>74</v>
      </c>
      <c r="I638" t="s">
        <v>8711</v>
      </c>
      <c r="J638" t="s">
        <v>4597</v>
      </c>
      <c r="K638" t="s">
        <v>74</v>
      </c>
      <c r="L638" t="s">
        <v>74</v>
      </c>
      <c r="M638" t="s">
        <v>77</v>
      </c>
      <c r="N638" t="s">
        <v>103</v>
      </c>
      <c r="O638" t="s">
        <v>74</v>
      </c>
      <c r="P638" t="s">
        <v>74</v>
      </c>
      <c r="Q638" t="s">
        <v>74</v>
      </c>
      <c r="R638" t="s">
        <v>74</v>
      </c>
      <c r="S638" t="s">
        <v>74</v>
      </c>
      <c r="T638" t="s">
        <v>74</v>
      </c>
      <c r="U638" t="s">
        <v>8712</v>
      </c>
      <c r="V638" t="s">
        <v>8713</v>
      </c>
      <c r="W638" t="s">
        <v>4004</v>
      </c>
      <c r="X638" t="s">
        <v>509</v>
      </c>
      <c r="Y638" t="s">
        <v>8714</v>
      </c>
      <c r="Z638" t="s">
        <v>8715</v>
      </c>
      <c r="AA638" t="s">
        <v>74</v>
      </c>
      <c r="AB638" t="s">
        <v>8716</v>
      </c>
      <c r="AC638" t="s">
        <v>74</v>
      </c>
      <c r="AD638" t="s">
        <v>74</v>
      </c>
      <c r="AE638" t="s">
        <v>74</v>
      </c>
      <c r="AF638" t="s">
        <v>74</v>
      </c>
      <c r="AG638">
        <v>72</v>
      </c>
      <c r="AH638">
        <v>68</v>
      </c>
      <c r="AI638">
        <v>73</v>
      </c>
      <c r="AJ638">
        <v>0</v>
      </c>
      <c r="AK638">
        <v>9</v>
      </c>
      <c r="AL638" t="s">
        <v>966</v>
      </c>
      <c r="AM638" t="s">
        <v>967</v>
      </c>
      <c r="AN638" t="s">
        <v>968</v>
      </c>
      <c r="AO638" t="s">
        <v>4606</v>
      </c>
      <c r="AP638" t="s">
        <v>4607</v>
      </c>
      <c r="AQ638" t="s">
        <v>74</v>
      </c>
      <c r="AR638" t="s">
        <v>4597</v>
      </c>
      <c r="AS638" t="s">
        <v>4608</v>
      </c>
      <c r="AT638" t="s">
        <v>8101</v>
      </c>
      <c r="AU638">
        <v>1998</v>
      </c>
      <c r="AV638">
        <v>13</v>
      </c>
      <c r="AW638">
        <v>4</v>
      </c>
      <c r="AX638" t="s">
        <v>74</v>
      </c>
      <c r="AY638" t="s">
        <v>74</v>
      </c>
      <c r="AZ638" t="s">
        <v>74</v>
      </c>
      <c r="BA638" t="s">
        <v>74</v>
      </c>
      <c r="BB638">
        <v>365</v>
      </c>
      <c r="BC638">
        <v>383</v>
      </c>
      <c r="BD638" t="s">
        <v>74</v>
      </c>
      <c r="BE638" t="s">
        <v>8717</v>
      </c>
      <c r="BF638" t="str">
        <f>HYPERLINK("http://dx.doi.org/10.1029/98PA01320","http://dx.doi.org/10.1029/98PA01320")</f>
        <v>http://dx.doi.org/10.1029/98PA01320</v>
      </c>
      <c r="BG638" t="s">
        <v>74</v>
      </c>
      <c r="BH638" t="s">
        <v>74</v>
      </c>
      <c r="BI638">
        <v>19</v>
      </c>
      <c r="BJ638" t="s">
        <v>4610</v>
      </c>
      <c r="BK638" t="s">
        <v>95</v>
      </c>
      <c r="BL638" t="s">
        <v>3306</v>
      </c>
      <c r="BM638" t="s">
        <v>8708</v>
      </c>
      <c r="BN638" t="s">
        <v>74</v>
      </c>
      <c r="BO638" t="s">
        <v>74</v>
      </c>
      <c r="BP638" t="s">
        <v>74</v>
      </c>
      <c r="BQ638" t="s">
        <v>74</v>
      </c>
      <c r="BR638" t="s">
        <v>98</v>
      </c>
      <c r="BS638" t="s">
        <v>8718</v>
      </c>
      <c r="BT638" t="str">
        <f>HYPERLINK("https%3A%2F%2Fwww.webofscience.com%2Fwos%2Fwoscc%2Ffull-record%2FWOS:000075052700006","View Full Record in Web of Science")</f>
        <v>View Full Record in Web of Science</v>
      </c>
    </row>
    <row r="639" spans="1:72" x14ac:dyDescent="0.15">
      <c r="A639" t="s">
        <v>72</v>
      </c>
      <c r="B639" t="s">
        <v>8719</v>
      </c>
      <c r="C639" t="s">
        <v>74</v>
      </c>
      <c r="D639" t="s">
        <v>74</v>
      </c>
      <c r="E639" t="s">
        <v>74</v>
      </c>
      <c r="F639" t="s">
        <v>8719</v>
      </c>
      <c r="G639" t="s">
        <v>74</v>
      </c>
      <c r="H639" t="s">
        <v>74</v>
      </c>
      <c r="I639" t="s">
        <v>8720</v>
      </c>
      <c r="J639" t="s">
        <v>8721</v>
      </c>
      <c r="K639" t="s">
        <v>74</v>
      </c>
      <c r="L639" t="s">
        <v>74</v>
      </c>
      <c r="M639" t="s">
        <v>77</v>
      </c>
      <c r="N639" t="s">
        <v>103</v>
      </c>
      <c r="O639" t="s">
        <v>74</v>
      </c>
      <c r="P639" t="s">
        <v>74</v>
      </c>
      <c r="Q639" t="s">
        <v>74</v>
      </c>
      <c r="R639" t="s">
        <v>74</v>
      </c>
      <c r="S639" t="s">
        <v>74</v>
      </c>
      <c r="T639" t="s">
        <v>74</v>
      </c>
      <c r="U639" t="s">
        <v>8722</v>
      </c>
      <c r="V639" t="s">
        <v>8723</v>
      </c>
      <c r="W639" t="s">
        <v>8724</v>
      </c>
      <c r="X639" t="s">
        <v>8725</v>
      </c>
      <c r="Y639" t="s">
        <v>8726</v>
      </c>
      <c r="Z639" t="s">
        <v>8727</v>
      </c>
      <c r="AA639" t="s">
        <v>74</v>
      </c>
      <c r="AB639" t="s">
        <v>74</v>
      </c>
      <c r="AC639" t="s">
        <v>74</v>
      </c>
      <c r="AD639" t="s">
        <v>74</v>
      </c>
      <c r="AE639" t="s">
        <v>74</v>
      </c>
      <c r="AF639" t="s">
        <v>74</v>
      </c>
      <c r="AG639">
        <v>13</v>
      </c>
      <c r="AH639">
        <v>24</v>
      </c>
      <c r="AI639">
        <v>26</v>
      </c>
      <c r="AJ639">
        <v>0</v>
      </c>
      <c r="AK639">
        <v>2</v>
      </c>
      <c r="AL639" t="s">
        <v>8728</v>
      </c>
      <c r="AM639" t="s">
        <v>8729</v>
      </c>
      <c r="AN639" t="s">
        <v>8730</v>
      </c>
      <c r="AO639" t="s">
        <v>8731</v>
      </c>
      <c r="AP639" t="s">
        <v>74</v>
      </c>
      <c r="AQ639" t="s">
        <v>74</v>
      </c>
      <c r="AR639" t="s">
        <v>8732</v>
      </c>
      <c r="AS639" t="s">
        <v>8733</v>
      </c>
      <c r="AT639" t="s">
        <v>8101</v>
      </c>
      <c r="AU639">
        <v>1998</v>
      </c>
      <c r="AV639">
        <v>68</v>
      </c>
      <c r="AW639">
        <v>2</v>
      </c>
      <c r="AX639" t="s">
        <v>74</v>
      </c>
      <c r="AY639" t="s">
        <v>74</v>
      </c>
      <c r="AZ639" t="s">
        <v>74</v>
      </c>
      <c r="BA639" t="s">
        <v>74</v>
      </c>
      <c r="BB639">
        <v>183</v>
      </c>
      <c r="BC639">
        <v>190</v>
      </c>
      <c r="BD639" t="s">
        <v>74</v>
      </c>
      <c r="BE639" t="s">
        <v>8734</v>
      </c>
      <c r="BF639" t="str">
        <f>HYPERLINK("http://dx.doi.org/10.1562/0031-8655(1998)068&lt;0183:URASOT&gt;2.3.CO;2","http://dx.doi.org/10.1562/0031-8655(1998)068&lt;0183:URASOT&gt;2.3.CO;2")</f>
        <v>http://dx.doi.org/10.1562/0031-8655(1998)068&lt;0183:URASOT&gt;2.3.CO;2</v>
      </c>
      <c r="BG639" t="s">
        <v>74</v>
      </c>
      <c r="BH639" t="s">
        <v>74</v>
      </c>
      <c r="BI639">
        <v>8</v>
      </c>
      <c r="BJ639" t="s">
        <v>1650</v>
      </c>
      <c r="BK639" t="s">
        <v>95</v>
      </c>
      <c r="BL639" t="s">
        <v>1650</v>
      </c>
      <c r="BM639" t="s">
        <v>8735</v>
      </c>
      <c r="BN639" t="s">
        <v>74</v>
      </c>
      <c r="BO639" t="s">
        <v>74</v>
      </c>
      <c r="BP639" t="s">
        <v>74</v>
      </c>
      <c r="BQ639" t="s">
        <v>74</v>
      </c>
      <c r="BR639" t="s">
        <v>98</v>
      </c>
      <c r="BS639" t="s">
        <v>8736</v>
      </c>
      <c r="BT639" t="str">
        <f>HYPERLINK("https%3A%2F%2Fwww.webofscience.com%2Fwos%2Fwoscc%2Ffull-record%2FWOS:000075484100014","View Full Record in Web of Science")</f>
        <v>View Full Record in Web of Science</v>
      </c>
    </row>
    <row r="640" spans="1:72" x14ac:dyDescent="0.15">
      <c r="A640" t="s">
        <v>72</v>
      </c>
      <c r="B640" t="s">
        <v>8737</v>
      </c>
      <c r="C640" t="s">
        <v>74</v>
      </c>
      <c r="D640" t="s">
        <v>74</v>
      </c>
      <c r="E640" t="s">
        <v>74</v>
      </c>
      <c r="F640" t="s">
        <v>8737</v>
      </c>
      <c r="G640" t="s">
        <v>74</v>
      </c>
      <c r="H640" t="s">
        <v>74</v>
      </c>
      <c r="I640" t="s">
        <v>8738</v>
      </c>
      <c r="J640" t="s">
        <v>2603</v>
      </c>
      <c r="K640" t="s">
        <v>74</v>
      </c>
      <c r="L640" t="s">
        <v>74</v>
      </c>
      <c r="M640" t="s">
        <v>77</v>
      </c>
      <c r="N640" t="s">
        <v>103</v>
      </c>
      <c r="O640" t="s">
        <v>74</v>
      </c>
      <c r="P640" t="s">
        <v>74</v>
      </c>
      <c r="Q640" t="s">
        <v>74</v>
      </c>
      <c r="R640" t="s">
        <v>74</v>
      </c>
      <c r="S640" t="s">
        <v>74</v>
      </c>
      <c r="T640" t="s">
        <v>74</v>
      </c>
      <c r="U640" t="s">
        <v>8739</v>
      </c>
      <c r="V640" t="s">
        <v>8740</v>
      </c>
      <c r="W640" t="s">
        <v>8741</v>
      </c>
      <c r="X640" t="s">
        <v>8742</v>
      </c>
      <c r="Y640" t="s">
        <v>8743</v>
      </c>
      <c r="Z640" t="s">
        <v>74</v>
      </c>
      <c r="AA640" t="s">
        <v>1223</v>
      </c>
      <c r="AB640" t="s">
        <v>8744</v>
      </c>
      <c r="AC640" t="s">
        <v>74</v>
      </c>
      <c r="AD640" t="s">
        <v>74</v>
      </c>
      <c r="AE640" t="s">
        <v>74</v>
      </c>
      <c r="AF640" t="s">
        <v>74</v>
      </c>
      <c r="AG640">
        <v>35</v>
      </c>
      <c r="AH640">
        <v>8</v>
      </c>
      <c r="AI640">
        <v>9</v>
      </c>
      <c r="AJ640">
        <v>0</v>
      </c>
      <c r="AK640">
        <v>1</v>
      </c>
      <c r="AL640" t="s">
        <v>805</v>
      </c>
      <c r="AM640" t="s">
        <v>278</v>
      </c>
      <c r="AN640" t="s">
        <v>7324</v>
      </c>
      <c r="AO640" t="s">
        <v>2610</v>
      </c>
      <c r="AP640" t="s">
        <v>2611</v>
      </c>
      <c r="AQ640" t="s">
        <v>74</v>
      </c>
      <c r="AR640" t="s">
        <v>2612</v>
      </c>
      <c r="AS640" t="s">
        <v>2613</v>
      </c>
      <c r="AT640" t="s">
        <v>8101</v>
      </c>
      <c r="AU640">
        <v>1998</v>
      </c>
      <c r="AV640">
        <v>20</v>
      </c>
      <c r="AW640">
        <v>2</v>
      </c>
      <c r="AX640" t="s">
        <v>74</v>
      </c>
      <c r="AY640" t="s">
        <v>74</v>
      </c>
      <c r="AZ640" t="s">
        <v>74</v>
      </c>
      <c r="BA640" t="s">
        <v>74</v>
      </c>
      <c r="BB640">
        <v>77</v>
      </c>
      <c r="BC640">
        <v>84</v>
      </c>
      <c r="BD640" t="s">
        <v>74</v>
      </c>
      <c r="BE640" t="s">
        <v>8745</v>
      </c>
      <c r="BF640" t="str">
        <f>HYPERLINK("http://dx.doi.org/10.1007/s003000050279","http://dx.doi.org/10.1007/s003000050279")</f>
        <v>http://dx.doi.org/10.1007/s003000050279</v>
      </c>
      <c r="BG640" t="s">
        <v>74</v>
      </c>
      <c r="BH640" t="s">
        <v>74</v>
      </c>
      <c r="BI640">
        <v>8</v>
      </c>
      <c r="BJ640" t="s">
        <v>2615</v>
      </c>
      <c r="BK640" t="s">
        <v>95</v>
      </c>
      <c r="BL640" t="s">
        <v>2616</v>
      </c>
      <c r="BM640" t="s">
        <v>8746</v>
      </c>
      <c r="BN640" t="s">
        <v>74</v>
      </c>
      <c r="BO640" t="s">
        <v>74</v>
      </c>
      <c r="BP640" t="s">
        <v>74</v>
      </c>
      <c r="BQ640" t="s">
        <v>74</v>
      </c>
      <c r="BR640" t="s">
        <v>98</v>
      </c>
      <c r="BS640" t="s">
        <v>8747</v>
      </c>
      <c r="BT640" t="str">
        <f>HYPERLINK("https%3A%2F%2Fwww.webofscience.com%2Fwos%2Fwoscc%2Ffull-record%2FWOS:000075337900001","View Full Record in Web of Science")</f>
        <v>View Full Record in Web of Science</v>
      </c>
    </row>
    <row r="641" spans="1:72" x14ac:dyDescent="0.15">
      <c r="A641" t="s">
        <v>72</v>
      </c>
      <c r="B641" t="s">
        <v>8748</v>
      </c>
      <c r="C641" t="s">
        <v>74</v>
      </c>
      <c r="D641" t="s">
        <v>74</v>
      </c>
      <c r="E641" t="s">
        <v>74</v>
      </c>
      <c r="F641" t="s">
        <v>8748</v>
      </c>
      <c r="G641" t="s">
        <v>74</v>
      </c>
      <c r="H641" t="s">
        <v>74</v>
      </c>
      <c r="I641" t="s">
        <v>8749</v>
      </c>
      <c r="J641" t="s">
        <v>2603</v>
      </c>
      <c r="K641" t="s">
        <v>74</v>
      </c>
      <c r="L641" t="s">
        <v>74</v>
      </c>
      <c r="M641" t="s">
        <v>77</v>
      </c>
      <c r="N641" t="s">
        <v>103</v>
      </c>
      <c r="O641" t="s">
        <v>74</v>
      </c>
      <c r="P641" t="s">
        <v>74</v>
      </c>
      <c r="Q641" t="s">
        <v>74</v>
      </c>
      <c r="R641" t="s">
        <v>74</v>
      </c>
      <c r="S641" t="s">
        <v>74</v>
      </c>
      <c r="T641" t="s">
        <v>74</v>
      </c>
      <c r="U641" t="s">
        <v>8750</v>
      </c>
      <c r="V641" t="s">
        <v>8751</v>
      </c>
      <c r="W641" t="s">
        <v>7076</v>
      </c>
      <c r="X641" t="s">
        <v>3440</v>
      </c>
      <c r="Y641" t="s">
        <v>6150</v>
      </c>
      <c r="Z641" t="s">
        <v>8304</v>
      </c>
      <c r="AA641" t="s">
        <v>6152</v>
      </c>
      <c r="AB641" t="s">
        <v>74</v>
      </c>
      <c r="AC641" t="s">
        <v>74</v>
      </c>
      <c r="AD641" t="s">
        <v>74</v>
      </c>
      <c r="AE641" t="s">
        <v>74</v>
      </c>
      <c r="AF641" t="s">
        <v>74</v>
      </c>
      <c r="AG641">
        <v>51</v>
      </c>
      <c r="AH641">
        <v>39</v>
      </c>
      <c r="AI641">
        <v>44</v>
      </c>
      <c r="AJ641">
        <v>0</v>
      </c>
      <c r="AK641">
        <v>18</v>
      </c>
      <c r="AL641" t="s">
        <v>805</v>
      </c>
      <c r="AM641" t="s">
        <v>278</v>
      </c>
      <c r="AN641" t="s">
        <v>806</v>
      </c>
      <c r="AO641" t="s">
        <v>2610</v>
      </c>
      <c r="AP641" t="s">
        <v>2611</v>
      </c>
      <c r="AQ641" t="s">
        <v>74</v>
      </c>
      <c r="AR641" t="s">
        <v>2612</v>
      </c>
      <c r="AS641" t="s">
        <v>2613</v>
      </c>
      <c r="AT641" t="s">
        <v>8101</v>
      </c>
      <c r="AU641">
        <v>1998</v>
      </c>
      <c r="AV641">
        <v>20</v>
      </c>
      <c r="AW641">
        <v>2</v>
      </c>
      <c r="AX641" t="s">
        <v>74</v>
      </c>
      <c r="AY641" t="s">
        <v>74</v>
      </c>
      <c r="AZ641" t="s">
        <v>74</v>
      </c>
      <c r="BA641" t="s">
        <v>74</v>
      </c>
      <c r="BB641">
        <v>99</v>
      </c>
      <c r="BC641">
        <v>106</v>
      </c>
      <c r="BD641" t="s">
        <v>74</v>
      </c>
      <c r="BE641" t="s">
        <v>8752</v>
      </c>
      <c r="BF641" t="str">
        <f>HYPERLINK("http://dx.doi.org/10.1007/s003000050282","http://dx.doi.org/10.1007/s003000050282")</f>
        <v>http://dx.doi.org/10.1007/s003000050282</v>
      </c>
      <c r="BG641" t="s">
        <v>74</v>
      </c>
      <c r="BH641" t="s">
        <v>74</v>
      </c>
      <c r="BI641">
        <v>8</v>
      </c>
      <c r="BJ641" t="s">
        <v>2615</v>
      </c>
      <c r="BK641" t="s">
        <v>95</v>
      </c>
      <c r="BL641" t="s">
        <v>2616</v>
      </c>
      <c r="BM641" t="s">
        <v>8746</v>
      </c>
      <c r="BN641" t="s">
        <v>74</v>
      </c>
      <c r="BO641" t="s">
        <v>74</v>
      </c>
      <c r="BP641" t="s">
        <v>74</v>
      </c>
      <c r="BQ641" t="s">
        <v>74</v>
      </c>
      <c r="BR641" t="s">
        <v>98</v>
      </c>
      <c r="BS641" t="s">
        <v>8753</v>
      </c>
      <c r="BT641" t="str">
        <f>HYPERLINK("https%3A%2F%2Fwww.webofscience.com%2Fwos%2Fwoscc%2Ffull-record%2FWOS:000075337900004","View Full Record in Web of Science")</f>
        <v>View Full Record in Web of Science</v>
      </c>
    </row>
    <row r="642" spans="1:72" x14ac:dyDescent="0.15">
      <c r="A642" t="s">
        <v>72</v>
      </c>
      <c r="B642" t="s">
        <v>8754</v>
      </c>
      <c r="C642" t="s">
        <v>74</v>
      </c>
      <c r="D642" t="s">
        <v>74</v>
      </c>
      <c r="E642" t="s">
        <v>74</v>
      </c>
      <c r="F642" t="s">
        <v>8754</v>
      </c>
      <c r="G642" t="s">
        <v>74</v>
      </c>
      <c r="H642" t="s">
        <v>74</v>
      </c>
      <c r="I642" t="s">
        <v>8755</v>
      </c>
      <c r="J642" t="s">
        <v>2603</v>
      </c>
      <c r="K642" t="s">
        <v>74</v>
      </c>
      <c r="L642" t="s">
        <v>74</v>
      </c>
      <c r="M642" t="s">
        <v>77</v>
      </c>
      <c r="N642" t="s">
        <v>103</v>
      </c>
      <c r="O642" t="s">
        <v>74</v>
      </c>
      <c r="P642" t="s">
        <v>74</v>
      </c>
      <c r="Q642" t="s">
        <v>74</v>
      </c>
      <c r="R642" t="s">
        <v>74</v>
      </c>
      <c r="S642" t="s">
        <v>74</v>
      </c>
      <c r="T642" t="s">
        <v>74</v>
      </c>
      <c r="U642" t="s">
        <v>8756</v>
      </c>
      <c r="V642" t="s">
        <v>8757</v>
      </c>
      <c r="W642" t="s">
        <v>8758</v>
      </c>
      <c r="X642" t="s">
        <v>8759</v>
      </c>
      <c r="Y642" t="s">
        <v>8760</v>
      </c>
      <c r="Z642" t="s">
        <v>74</v>
      </c>
      <c r="AA642" t="s">
        <v>74</v>
      </c>
      <c r="AB642" t="s">
        <v>74</v>
      </c>
      <c r="AC642" t="s">
        <v>74</v>
      </c>
      <c r="AD642" t="s">
        <v>74</v>
      </c>
      <c r="AE642" t="s">
        <v>74</v>
      </c>
      <c r="AF642" t="s">
        <v>74</v>
      </c>
      <c r="AG642">
        <v>31</v>
      </c>
      <c r="AH642">
        <v>20</v>
      </c>
      <c r="AI642">
        <v>23</v>
      </c>
      <c r="AJ642">
        <v>0</v>
      </c>
      <c r="AK642">
        <v>5</v>
      </c>
      <c r="AL642" t="s">
        <v>887</v>
      </c>
      <c r="AM642" t="s">
        <v>278</v>
      </c>
      <c r="AN642" t="s">
        <v>888</v>
      </c>
      <c r="AO642" t="s">
        <v>2610</v>
      </c>
      <c r="AP642" t="s">
        <v>74</v>
      </c>
      <c r="AQ642" t="s">
        <v>74</v>
      </c>
      <c r="AR642" t="s">
        <v>2612</v>
      </c>
      <c r="AS642" t="s">
        <v>2613</v>
      </c>
      <c r="AT642" t="s">
        <v>8101</v>
      </c>
      <c r="AU642">
        <v>1998</v>
      </c>
      <c r="AV642">
        <v>20</v>
      </c>
      <c r="AW642">
        <v>2</v>
      </c>
      <c r="AX642" t="s">
        <v>74</v>
      </c>
      <c r="AY642" t="s">
        <v>74</v>
      </c>
      <c r="AZ642" t="s">
        <v>74</v>
      </c>
      <c r="BA642" t="s">
        <v>74</v>
      </c>
      <c r="BB642">
        <v>121</v>
      </c>
      <c r="BC642">
        <v>126</v>
      </c>
      <c r="BD642" t="s">
        <v>74</v>
      </c>
      <c r="BE642" t="s">
        <v>8761</v>
      </c>
      <c r="BF642" t="str">
        <f>HYPERLINK("http://dx.doi.org/10.1007/s003000050285","http://dx.doi.org/10.1007/s003000050285")</f>
        <v>http://dx.doi.org/10.1007/s003000050285</v>
      </c>
      <c r="BG642" t="s">
        <v>74</v>
      </c>
      <c r="BH642" t="s">
        <v>74</v>
      </c>
      <c r="BI642">
        <v>6</v>
      </c>
      <c r="BJ642" t="s">
        <v>2615</v>
      </c>
      <c r="BK642" t="s">
        <v>95</v>
      </c>
      <c r="BL642" t="s">
        <v>2616</v>
      </c>
      <c r="BM642" t="s">
        <v>8746</v>
      </c>
      <c r="BN642" t="s">
        <v>74</v>
      </c>
      <c r="BO642" t="s">
        <v>74</v>
      </c>
      <c r="BP642" t="s">
        <v>74</v>
      </c>
      <c r="BQ642" t="s">
        <v>74</v>
      </c>
      <c r="BR642" t="s">
        <v>98</v>
      </c>
      <c r="BS642" t="s">
        <v>8762</v>
      </c>
      <c r="BT642" t="str">
        <f>HYPERLINK("https%3A%2F%2Fwww.webofscience.com%2Fwos%2Fwoscc%2Ffull-record%2FWOS:000075337900007","View Full Record in Web of Science")</f>
        <v>View Full Record in Web of Science</v>
      </c>
    </row>
    <row r="643" spans="1:72" x14ac:dyDescent="0.15">
      <c r="A643" t="s">
        <v>72</v>
      </c>
      <c r="B643" t="s">
        <v>8763</v>
      </c>
      <c r="C643" t="s">
        <v>74</v>
      </c>
      <c r="D643" t="s">
        <v>74</v>
      </c>
      <c r="E643" t="s">
        <v>74</v>
      </c>
      <c r="F643" t="s">
        <v>8763</v>
      </c>
      <c r="G643" t="s">
        <v>74</v>
      </c>
      <c r="H643" t="s">
        <v>74</v>
      </c>
      <c r="I643" t="s">
        <v>8764</v>
      </c>
      <c r="J643" t="s">
        <v>2603</v>
      </c>
      <c r="K643" t="s">
        <v>74</v>
      </c>
      <c r="L643" t="s">
        <v>74</v>
      </c>
      <c r="M643" t="s">
        <v>77</v>
      </c>
      <c r="N643" t="s">
        <v>103</v>
      </c>
      <c r="O643" t="s">
        <v>74</v>
      </c>
      <c r="P643" t="s">
        <v>74</v>
      </c>
      <c r="Q643" t="s">
        <v>74</v>
      </c>
      <c r="R643" t="s">
        <v>74</v>
      </c>
      <c r="S643" t="s">
        <v>74</v>
      </c>
      <c r="T643" t="s">
        <v>74</v>
      </c>
      <c r="U643" t="s">
        <v>8765</v>
      </c>
      <c r="V643" t="s">
        <v>8766</v>
      </c>
      <c r="W643" t="s">
        <v>8767</v>
      </c>
      <c r="X643" t="s">
        <v>8768</v>
      </c>
      <c r="Y643" t="s">
        <v>8769</v>
      </c>
      <c r="Z643" t="s">
        <v>74</v>
      </c>
      <c r="AA643" t="s">
        <v>74</v>
      </c>
      <c r="AB643" t="s">
        <v>74</v>
      </c>
      <c r="AC643" t="s">
        <v>74</v>
      </c>
      <c r="AD643" t="s">
        <v>74</v>
      </c>
      <c r="AE643" t="s">
        <v>74</v>
      </c>
      <c r="AF643" t="s">
        <v>74</v>
      </c>
      <c r="AG643">
        <v>30</v>
      </c>
      <c r="AH643">
        <v>2</v>
      </c>
      <c r="AI643">
        <v>2</v>
      </c>
      <c r="AJ643">
        <v>0</v>
      </c>
      <c r="AK643">
        <v>1</v>
      </c>
      <c r="AL643" t="s">
        <v>887</v>
      </c>
      <c r="AM643" t="s">
        <v>278</v>
      </c>
      <c r="AN643" t="s">
        <v>888</v>
      </c>
      <c r="AO643" t="s">
        <v>2610</v>
      </c>
      <c r="AP643" t="s">
        <v>74</v>
      </c>
      <c r="AQ643" t="s">
        <v>74</v>
      </c>
      <c r="AR643" t="s">
        <v>2612</v>
      </c>
      <c r="AS643" t="s">
        <v>2613</v>
      </c>
      <c r="AT643" t="s">
        <v>8101</v>
      </c>
      <c r="AU643">
        <v>1998</v>
      </c>
      <c r="AV643">
        <v>20</v>
      </c>
      <c r="AW643">
        <v>2</v>
      </c>
      <c r="AX643" t="s">
        <v>74</v>
      </c>
      <c r="AY643" t="s">
        <v>74</v>
      </c>
      <c r="AZ643" t="s">
        <v>74</v>
      </c>
      <c r="BA643" t="s">
        <v>74</v>
      </c>
      <c r="BB643">
        <v>127</v>
      </c>
      <c r="BC643">
        <v>133</v>
      </c>
      <c r="BD643" t="s">
        <v>74</v>
      </c>
      <c r="BE643" t="s">
        <v>8770</v>
      </c>
      <c r="BF643" t="str">
        <f>HYPERLINK("http://dx.doi.org/10.1007/s003000050286","http://dx.doi.org/10.1007/s003000050286")</f>
        <v>http://dx.doi.org/10.1007/s003000050286</v>
      </c>
      <c r="BG643" t="s">
        <v>74</v>
      </c>
      <c r="BH643" t="s">
        <v>74</v>
      </c>
      <c r="BI643">
        <v>7</v>
      </c>
      <c r="BJ643" t="s">
        <v>2615</v>
      </c>
      <c r="BK643" t="s">
        <v>95</v>
      </c>
      <c r="BL643" t="s">
        <v>2616</v>
      </c>
      <c r="BM643" t="s">
        <v>8746</v>
      </c>
      <c r="BN643" t="s">
        <v>74</v>
      </c>
      <c r="BO643" t="s">
        <v>74</v>
      </c>
      <c r="BP643" t="s">
        <v>74</v>
      </c>
      <c r="BQ643" t="s">
        <v>74</v>
      </c>
      <c r="BR643" t="s">
        <v>98</v>
      </c>
      <c r="BS643" t="s">
        <v>8771</v>
      </c>
      <c r="BT643" t="str">
        <f>HYPERLINK("https%3A%2F%2Fwww.webofscience.com%2Fwos%2Fwoscc%2Ffull-record%2FWOS:000075337900008","View Full Record in Web of Science")</f>
        <v>View Full Record in Web of Science</v>
      </c>
    </row>
    <row r="644" spans="1:72" x14ac:dyDescent="0.15">
      <c r="A644" t="s">
        <v>72</v>
      </c>
      <c r="B644" t="s">
        <v>8772</v>
      </c>
      <c r="C644" t="s">
        <v>74</v>
      </c>
      <c r="D644" t="s">
        <v>74</v>
      </c>
      <c r="E644" t="s">
        <v>74</v>
      </c>
      <c r="F644" t="s">
        <v>8772</v>
      </c>
      <c r="G644" t="s">
        <v>74</v>
      </c>
      <c r="H644" t="s">
        <v>74</v>
      </c>
      <c r="I644" t="s">
        <v>8773</v>
      </c>
      <c r="J644" t="s">
        <v>2603</v>
      </c>
      <c r="K644" t="s">
        <v>74</v>
      </c>
      <c r="L644" t="s">
        <v>74</v>
      </c>
      <c r="M644" t="s">
        <v>77</v>
      </c>
      <c r="N644" t="s">
        <v>103</v>
      </c>
      <c r="O644" t="s">
        <v>74</v>
      </c>
      <c r="P644" t="s">
        <v>74</v>
      </c>
      <c r="Q644" t="s">
        <v>74</v>
      </c>
      <c r="R644" t="s">
        <v>74</v>
      </c>
      <c r="S644" t="s">
        <v>74</v>
      </c>
      <c r="T644" t="s">
        <v>74</v>
      </c>
      <c r="U644" t="s">
        <v>8774</v>
      </c>
      <c r="V644" t="s">
        <v>8775</v>
      </c>
      <c r="W644" t="s">
        <v>8776</v>
      </c>
      <c r="X644" t="s">
        <v>4479</v>
      </c>
      <c r="Y644" t="s">
        <v>8777</v>
      </c>
      <c r="Z644" t="s">
        <v>8778</v>
      </c>
      <c r="AA644" t="s">
        <v>8779</v>
      </c>
      <c r="AB644" t="s">
        <v>8780</v>
      </c>
      <c r="AC644" t="s">
        <v>74</v>
      </c>
      <c r="AD644" t="s">
        <v>74</v>
      </c>
      <c r="AE644" t="s">
        <v>74</v>
      </c>
      <c r="AF644" t="s">
        <v>74</v>
      </c>
      <c r="AG644">
        <v>30</v>
      </c>
      <c r="AH644">
        <v>14</v>
      </c>
      <c r="AI644">
        <v>15</v>
      </c>
      <c r="AJ644">
        <v>0</v>
      </c>
      <c r="AK644">
        <v>10</v>
      </c>
      <c r="AL644" t="s">
        <v>805</v>
      </c>
      <c r="AM644" t="s">
        <v>278</v>
      </c>
      <c r="AN644" t="s">
        <v>806</v>
      </c>
      <c r="AO644" t="s">
        <v>2610</v>
      </c>
      <c r="AP644" t="s">
        <v>74</v>
      </c>
      <c r="AQ644" t="s">
        <v>74</v>
      </c>
      <c r="AR644" t="s">
        <v>2612</v>
      </c>
      <c r="AS644" t="s">
        <v>2613</v>
      </c>
      <c r="AT644" t="s">
        <v>8101</v>
      </c>
      <c r="AU644">
        <v>1998</v>
      </c>
      <c r="AV644">
        <v>20</v>
      </c>
      <c r="AW644">
        <v>2</v>
      </c>
      <c r="AX644" t="s">
        <v>74</v>
      </c>
      <c r="AY644" t="s">
        <v>74</v>
      </c>
      <c r="AZ644" t="s">
        <v>74</v>
      </c>
      <c r="BA644" t="s">
        <v>74</v>
      </c>
      <c r="BB644">
        <v>139</v>
      </c>
      <c r="BC644">
        <v>142</v>
      </c>
      <c r="BD644" t="s">
        <v>74</v>
      </c>
      <c r="BE644" t="s">
        <v>8781</v>
      </c>
      <c r="BF644" t="str">
        <f>HYPERLINK("http://dx.doi.org/10.1007/s003000050288","http://dx.doi.org/10.1007/s003000050288")</f>
        <v>http://dx.doi.org/10.1007/s003000050288</v>
      </c>
      <c r="BG644" t="s">
        <v>74</v>
      </c>
      <c r="BH644" t="s">
        <v>74</v>
      </c>
      <c r="BI644">
        <v>4</v>
      </c>
      <c r="BJ644" t="s">
        <v>2615</v>
      </c>
      <c r="BK644" t="s">
        <v>95</v>
      </c>
      <c r="BL644" t="s">
        <v>2616</v>
      </c>
      <c r="BM644" t="s">
        <v>8746</v>
      </c>
      <c r="BN644" t="s">
        <v>74</v>
      </c>
      <c r="BO644" t="s">
        <v>74</v>
      </c>
      <c r="BP644" t="s">
        <v>74</v>
      </c>
      <c r="BQ644" t="s">
        <v>74</v>
      </c>
      <c r="BR644" t="s">
        <v>98</v>
      </c>
      <c r="BS644" t="s">
        <v>8782</v>
      </c>
      <c r="BT644" t="str">
        <f>HYPERLINK("https%3A%2F%2Fwww.webofscience.com%2Fwos%2Fwoscc%2Ffull-record%2FWOS:000075337900010","View Full Record in Web of Science")</f>
        <v>View Full Record in Web of Science</v>
      </c>
    </row>
    <row r="645" spans="1:72" x14ac:dyDescent="0.15">
      <c r="A645" t="s">
        <v>72</v>
      </c>
      <c r="B645" t="s">
        <v>8783</v>
      </c>
      <c r="C645" t="s">
        <v>74</v>
      </c>
      <c r="D645" t="s">
        <v>74</v>
      </c>
      <c r="E645" t="s">
        <v>74</v>
      </c>
      <c r="F645" t="s">
        <v>8783</v>
      </c>
      <c r="G645" t="s">
        <v>74</v>
      </c>
      <c r="H645" t="s">
        <v>74</v>
      </c>
      <c r="I645" t="s">
        <v>8784</v>
      </c>
      <c r="J645" t="s">
        <v>8785</v>
      </c>
      <c r="K645" t="s">
        <v>74</v>
      </c>
      <c r="L645" t="s">
        <v>74</v>
      </c>
      <c r="M645" t="s">
        <v>77</v>
      </c>
      <c r="N645" t="s">
        <v>103</v>
      </c>
      <c r="O645" t="s">
        <v>74</v>
      </c>
      <c r="P645" t="s">
        <v>74</v>
      </c>
      <c r="Q645" t="s">
        <v>74</v>
      </c>
      <c r="R645" t="s">
        <v>74</v>
      </c>
      <c r="S645" t="s">
        <v>74</v>
      </c>
      <c r="T645" t="s">
        <v>8786</v>
      </c>
      <c r="U645" t="s">
        <v>8787</v>
      </c>
      <c r="V645" t="s">
        <v>8788</v>
      </c>
      <c r="W645" t="s">
        <v>8789</v>
      </c>
      <c r="X645" t="s">
        <v>8790</v>
      </c>
      <c r="Y645" t="s">
        <v>8791</v>
      </c>
      <c r="Z645" t="s">
        <v>74</v>
      </c>
      <c r="AA645" t="s">
        <v>8792</v>
      </c>
      <c r="AB645" t="s">
        <v>8793</v>
      </c>
      <c r="AC645" t="s">
        <v>74</v>
      </c>
      <c r="AD645" t="s">
        <v>74</v>
      </c>
      <c r="AE645" t="s">
        <v>74</v>
      </c>
      <c r="AF645" t="s">
        <v>74</v>
      </c>
      <c r="AG645">
        <v>70</v>
      </c>
      <c r="AH645">
        <v>33</v>
      </c>
      <c r="AI645">
        <v>35</v>
      </c>
      <c r="AJ645">
        <v>0</v>
      </c>
      <c r="AK645">
        <v>2</v>
      </c>
      <c r="AL645" t="s">
        <v>1037</v>
      </c>
      <c r="AM645" t="s">
        <v>1038</v>
      </c>
      <c r="AN645" t="s">
        <v>1039</v>
      </c>
      <c r="AO645" t="s">
        <v>8794</v>
      </c>
      <c r="AP645" t="s">
        <v>74</v>
      </c>
      <c r="AQ645" t="s">
        <v>74</v>
      </c>
      <c r="AR645" t="s">
        <v>8795</v>
      </c>
      <c r="AS645" t="s">
        <v>8796</v>
      </c>
      <c r="AT645" t="s">
        <v>8101</v>
      </c>
      <c r="AU645">
        <v>1998</v>
      </c>
      <c r="AV645">
        <v>102</v>
      </c>
      <c r="AW645" t="s">
        <v>1282</v>
      </c>
      <c r="AX645" t="s">
        <v>74</v>
      </c>
      <c r="AY645" t="s">
        <v>74</v>
      </c>
      <c r="AZ645" t="s">
        <v>74</v>
      </c>
      <c r="BA645" t="s">
        <v>74</v>
      </c>
      <c r="BB645">
        <v>189</v>
      </c>
      <c r="BC645">
        <v>211</v>
      </c>
      <c r="BD645" t="s">
        <v>74</v>
      </c>
      <c r="BE645" t="s">
        <v>8797</v>
      </c>
      <c r="BF645" t="str">
        <f>HYPERLINK("http://dx.doi.org/10.1016/S0034-6667(98)00008-6","http://dx.doi.org/10.1016/S0034-6667(98)00008-6")</f>
        <v>http://dx.doi.org/10.1016/S0034-6667(98)00008-6</v>
      </c>
      <c r="BG645" t="s">
        <v>74</v>
      </c>
      <c r="BH645" t="s">
        <v>74</v>
      </c>
      <c r="BI645">
        <v>23</v>
      </c>
      <c r="BJ645" t="s">
        <v>8798</v>
      </c>
      <c r="BK645" t="s">
        <v>95</v>
      </c>
      <c r="BL645" t="s">
        <v>8798</v>
      </c>
      <c r="BM645" t="s">
        <v>8799</v>
      </c>
      <c r="BN645" t="s">
        <v>74</v>
      </c>
      <c r="BO645" t="s">
        <v>74</v>
      </c>
      <c r="BP645" t="s">
        <v>74</v>
      </c>
      <c r="BQ645" t="s">
        <v>74</v>
      </c>
      <c r="BR645" t="s">
        <v>98</v>
      </c>
      <c r="BS645" t="s">
        <v>8800</v>
      </c>
      <c r="BT645" t="str">
        <f>HYPERLINK("https%3A%2F%2Fwww.webofscience.com%2Fwos%2Fwoscc%2Ffull-record%2FWOS:000075195400005","View Full Record in Web of Science")</f>
        <v>View Full Record in Web of Science</v>
      </c>
    </row>
    <row r="646" spans="1:72" x14ac:dyDescent="0.15">
      <c r="A646" t="s">
        <v>72</v>
      </c>
      <c r="B646" t="s">
        <v>8801</v>
      </c>
      <c r="C646" t="s">
        <v>74</v>
      </c>
      <c r="D646" t="s">
        <v>74</v>
      </c>
      <c r="E646" t="s">
        <v>74</v>
      </c>
      <c r="F646" t="s">
        <v>8801</v>
      </c>
      <c r="G646" t="s">
        <v>74</v>
      </c>
      <c r="H646" t="s">
        <v>74</v>
      </c>
      <c r="I646" t="s">
        <v>8802</v>
      </c>
      <c r="J646" t="s">
        <v>8803</v>
      </c>
      <c r="K646" t="s">
        <v>74</v>
      </c>
      <c r="L646" t="s">
        <v>74</v>
      </c>
      <c r="M646" t="s">
        <v>77</v>
      </c>
      <c r="N646" t="s">
        <v>78</v>
      </c>
      <c r="O646" t="s">
        <v>74</v>
      </c>
      <c r="P646" t="s">
        <v>74</v>
      </c>
      <c r="Q646" t="s">
        <v>74</v>
      </c>
      <c r="R646" t="s">
        <v>74</v>
      </c>
      <c r="S646" t="s">
        <v>74</v>
      </c>
      <c r="T646" t="s">
        <v>74</v>
      </c>
      <c r="U646" t="s">
        <v>8804</v>
      </c>
      <c r="V646" t="s">
        <v>8805</v>
      </c>
      <c r="W646" t="s">
        <v>8806</v>
      </c>
      <c r="X646" t="s">
        <v>443</v>
      </c>
      <c r="Y646" t="s">
        <v>8807</v>
      </c>
      <c r="Z646" t="s">
        <v>8808</v>
      </c>
      <c r="AA646" t="s">
        <v>74</v>
      </c>
      <c r="AB646" t="s">
        <v>74</v>
      </c>
      <c r="AC646" t="s">
        <v>74</v>
      </c>
      <c r="AD646" t="s">
        <v>74</v>
      </c>
      <c r="AE646" t="s">
        <v>74</v>
      </c>
      <c r="AF646" t="s">
        <v>74</v>
      </c>
      <c r="AG646">
        <v>67</v>
      </c>
      <c r="AH646">
        <v>135</v>
      </c>
      <c r="AI646">
        <v>141</v>
      </c>
      <c r="AJ646">
        <v>1</v>
      </c>
      <c r="AK646">
        <v>16</v>
      </c>
      <c r="AL646" t="s">
        <v>966</v>
      </c>
      <c r="AM646" t="s">
        <v>967</v>
      </c>
      <c r="AN646" t="s">
        <v>968</v>
      </c>
      <c r="AO646" t="s">
        <v>8809</v>
      </c>
      <c r="AP646" t="s">
        <v>74</v>
      </c>
      <c r="AQ646" t="s">
        <v>74</v>
      </c>
      <c r="AR646" t="s">
        <v>8810</v>
      </c>
      <c r="AS646" t="s">
        <v>8811</v>
      </c>
      <c r="AT646" t="s">
        <v>8101</v>
      </c>
      <c r="AU646">
        <v>1998</v>
      </c>
      <c r="AV646">
        <v>36</v>
      </c>
      <c r="AW646">
        <v>3</v>
      </c>
      <c r="AX646" t="s">
        <v>74</v>
      </c>
      <c r="AY646" t="s">
        <v>74</v>
      </c>
      <c r="AZ646" t="s">
        <v>74</v>
      </c>
      <c r="BA646" t="s">
        <v>74</v>
      </c>
      <c r="BB646">
        <v>423</v>
      </c>
      <c r="BC646">
        <v>440</v>
      </c>
      <c r="BD646" t="s">
        <v>74</v>
      </c>
      <c r="BE646" t="s">
        <v>8812</v>
      </c>
      <c r="BF646" t="str">
        <f>HYPERLINK("http://dx.doi.org/10.1029/98RG01014","http://dx.doi.org/10.1029/98RG01014")</f>
        <v>http://dx.doi.org/10.1029/98RG01014</v>
      </c>
      <c r="BG646" t="s">
        <v>74</v>
      </c>
      <c r="BH646" t="s">
        <v>74</v>
      </c>
      <c r="BI646">
        <v>18</v>
      </c>
      <c r="BJ646" t="s">
        <v>303</v>
      </c>
      <c r="BK646" t="s">
        <v>95</v>
      </c>
      <c r="BL646" t="s">
        <v>303</v>
      </c>
      <c r="BM646" t="s">
        <v>8813</v>
      </c>
      <c r="BN646" t="s">
        <v>74</v>
      </c>
      <c r="BO646" t="s">
        <v>986</v>
      </c>
      <c r="BP646" t="s">
        <v>74</v>
      </c>
      <c r="BQ646" t="s">
        <v>74</v>
      </c>
      <c r="BR646" t="s">
        <v>98</v>
      </c>
      <c r="BS646" t="s">
        <v>8814</v>
      </c>
      <c r="BT646" t="str">
        <f>HYPERLINK("https%3A%2F%2Fwww.webofscience.com%2Fwos%2Fwoscc%2Ffull-record%2FWOS:000076276300005","View Full Record in Web of Science")</f>
        <v>View Full Record in Web of Science</v>
      </c>
    </row>
    <row r="647" spans="1:72" x14ac:dyDescent="0.15">
      <c r="A647" t="s">
        <v>72</v>
      </c>
      <c r="B647" t="s">
        <v>8815</v>
      </c>
      <c r="C647" t="s">
        <v>74</v>
      </c>
      <c r="D647" t="s">
        <v>74</v>
      </c>
      <c r="E647" t="s">
        <v>74</v>
      </c>
      <c r="F647" t="s">
        <v>8815</v>
      </c>
      <c r="G647" t="s">
        <v>74</v>
      </c>
      <c r="H647" t="s">
        <v>74</v>
      </c>
      <c r="I647" t="s">
        <v>8816</v>
      </c>
      <c r="J647" t="s">
        <v>3445</v>
      </c>
      <c r="K647" t="s">
        <v>74</v>
      </c>
      <c r="L647" t="s">
        <v>74</v>
      </c>
      <c r="M647" t="s">
        <v>77</v>
      </c>
      <c r="N647" t="s">
        <v>103</v>
      </c>
      <c r="O647" t="s">
        <v>74</v>
      </c>
      <c r="P647" t="s">
        <v>74</v>
      </c>
      <c r="Q647" t="s">
        <v>74</v>
      </c>
      <c r="R647" t="s">
        <v>74</v>
      </c>
      <c r="S647" t="s">
        <v>74</v>
      </c>
      <c r="T647" t="s">
        <v>74</v>
      </c>
      <c r="U647" t="s">
        <v>74</v>
      </c>
      <c r="V647" t="s">
        <v>8817</v>
      </c>
      <c r="W647" t="s">
        <v>8818</v>
      </c>
      <c r="X647" t="s">
        <v>8819</v>
      </c>
      <c r="Y647" t="s">
        <v>8820</v>
      </c>
      <c r="Z647" t="s">
        <v>74</v>
      </c>
      <c r="AA647" t="s">
        <v>8821</v>
      </c>
      <c r="AB647" t="s">
        <v>74</v>
      </c>
      <c r="AC647" t="s">
        <v>74</v>
      </c>
      <c r="AD647" t="s">
        <v>74</v>
      </c>
      <c r="AE647" t="s">
        <v>74</v>
      </c>
      <c r="AF647" t="s">
        <v>74</v>
      </c>
      <c r="AG647">
        <v>11</v>
      </c>
      <c r="AH647">
        <v>17</v>
      </c>
      <c r="AI647">
        <v>17</v>
      </c>
      <c r="AJ647">
        <v>0</v>
      </c>
      <c r="AK647">
        <v>3</v>
      </c>
      <c r="AL647" t="s">
        <v>3471</v>
      </c>
      <c r="AM647" t="s">
        <v>3472</v>
      </c>
      <c r="AN647" t="s">
        <v>8822</v>
      </c>
      <c r="AO647" t="s">
        <v>3457</v>
      </c>
      <c r="AP647" t="s">
        <v>74</v>
      </c>
      <c r="AQ647" t="s">
        <v>74</v>
      </c>
      <c r="AR647" t="s">
        <v>3459</v>
      </c>
      <c r="AS647" t="s">
        <v>3460</v>
      </c>
      <c r="AT647" t="s">
        <v>8101</v>
      </c>
      <c r="AU647">
        <v>1998</v>
      </c>
      <c r="AV647">
        <v>94</v>
      </c>
      <c r="AW647">
        <v>8</v>
      </c>
      <c r="AX647" t="s">
        <v>74</v>
      </c>
      <c r="AY647" t="s">
        <v>74</v>
      </c>
      <c r="AZ647" t="s">
        <v>74</v>
      </c>
      <c r="BA647" t="s">
        <v>74</v>
      </c>
      <c r="BB647">
        <v>399</v>
      </c>
      <c r="BC647">
        <v>403</v>
      </c>
      <c r="BD647" t="s">
        <v>74</v>
      </c>
      <c r="BE647" t="s">
        <v>74</v>
      </c>
      <c r="BF647" t="s">
        <v>74</v>
      </c>
      <c r="BG647" t="s">
        <v>74</v>
      </c>
      <c r="BH647" t="s">
        <v>74</v>
      </c>
      <c r="BI647">
        <v>5</v>
      </c>
      <c r="BJ647" t="s">
        <v>3377</v>
      </c>
      <c r="BK647" t="s">
        <v>95</v>
      </c>
      <c r="BL647" t="s">
        <v>3378</v>
      </c>
      <c r="BM647" t="s">
        <v>8823</v>
      </c>
      <c r="BN647" t="s">
        <v>74</v>
      </c>
      <c r="BO647" t="s">
        <v>74</v>
      </c>
      <c r="BP647" t="s">
        <v>74</v>
      </c>
      <c r="BQ647" t="s">
        <v>74</v>
      </c>
      <c r="BR647" t="s">
        <v>98</v>
      </c>
      <c r="BS647" t="s">
        <v>8824</v>
      </c>
      <c r="BT647" t="str">
        <f>HYPERLINK("https%3A%2F%2Fwww.webofscience.com%2Fwos%2Fwoscc%2Ffull-record%2FWOS:000076855500010","View Full Record in Web of Science")</f>
        <v>View Full Record in Web of Science</v>
      </c>
    </row>
    <row r="648" spans="1:72" x14ac:dyDescent="0.15">
      <c r="A648" t="s">
        <v>72</v>
      </c>
      <c r="B648" t="s">
        <v>8825</v>
      </c>
      <c r="C648" t="s">
        <v>74</v>
      </c>
      <c r="D648" t="s">
        <v>74</v>
      </c>
      <c r="E648" t="s">
        <v>74</v>
      </c>
      <c r="F648" t="s">
        <v>8825</v>
      </c>
      <c r="G648" t="s">
        <v>74</v>
      </c>
      <c r="H648" t="s">
        <v>74</v>
      </c>
      <c r="I648" t="s">
        <v>8826</v>
      </c>
      <c r="J648" t="s">
        <v>8827</v>
      </c>
      <c r="K648" t="s">
        <v>74</v>
      </c>
      <c r="L648" t="s">
        <v>74</v>
      </c>
      <c r="M648" t="s">
        <v>77</v>
      </c>
      <c r="N648" t="s">
        <v>103</v>
      </c>
      <c r="O648" t="s">
        <v>74</v>
      </c>
      <c r="P648" t="s">
        <v>74</v>
      </c>
      <c r="Q648" t="s">
        <v>74</v>
      </c>
      <c r="R648" t="s">
        <v>74</v>
      </c>
      <c r="S648" t="s">
        <v>74</v>
      </c>
      <c r="T648" t="s">
        <v>8828</v>
      </c>
      <c r="U648" t="s">
        <v>8829</v>
      </c>
      <c r="V648" t="s">
        <v>8830</v>
      </c>
      <c r="W648" t="s">
        <v>8831</v>
      </c>
      <c r="X648" t="s">
        <v>8832</v>
      </c>
      <c r="Y648" t="s">
        <v>8833</v>
      </c>
      <c r="Z648" t="s">
        <v>8834</v>
      </c>
      <c r="AA648" t="s">
        <v>74</v>
      </c>
      <c r="AB648" t="s">
        <v>74</v>
      </c>
      <c r="AC648" t="s">
        <v>74</v>
      </c>
      <c r="AD648" t="s">
        <v>74</v>
      </c>
      <c r="AE648" t="s">
        <v>74</v>
      </c>
      <c r="AF648" t="s">
        <v>74</v>
      </c>
      <c r="AG648">
        <v>31</v>
      </c>
      <c r="AH648">
        <v>155</v>
      </c>
      <c r="AI648">
        <v>162</v>
      </c>
      <c r="AJ648">
        <v>0</v>
      </c>
      <c r="AK648">
        <v>10</v>
      </c>
      <c r="AL648" t="s">
        <v>5639</v>
      </c>
      <c r="AM648" t="s">
        <v>4772</v>
      </c>
      <c r="AN648" t="s">
        <v>5640</v>
      </c>
      <c r="AO648" t="s">
        <v>8835</v>
      </c>
      <c r="AP648" t="s">
        <v>74</v>
      </c>
      <c r="AQ648" t="s">
        <v>74</v>
      </c>
      <c r="AR648" t="s">
        <v>8836</v>
      </c>
      <c r="AS648" t="s">
        <v>8837</v>
      </c>
      <c r="AT648" t="s">
        <v>8101</v>
      </c>
      <c r="AU648">
        <v>1998</v>
      </c>
      <c r="AV648">
        <v>21</v>
      </c>
      <c r="AW648">
        <v>3</v>
      </c>
      <c r="AX648" t="s">
        <v>74</v>
      </c>
      <c r="AY648" t="s">
        <v>74</v>
      </c>
      <c r="AZ648" t="s">
        <v>74</v>
      </c>
      <c r="BA648" t="s">
        <v>74</v>
      </c>
      <c r="BB648">
        <v>374</v>
      </c>
      <c r="BC648">
        <v>383</v>
      </c>
      <c r="BD648" t="s">
        <v>74</v>
      </c>
      <c r="BE648" t="s">
        <v>8838</v>
      </c>
      <c r="BF648" t="str">
        <f>HYPERLINK("http://dx.doi.org/10.1016/S0723-2020(98)80047-7","http://dx.doi.org/10.1016/S0723-2020(98)80047-7")</f>
        <v>http://dx.doi.org/10.1016/S0723-2020(98)80047-7</v>
      </c>
      <c r="BG648" t="s">
        <v>74</v>
      </c>
      <c r="BH648" t="s">
        <v>74</v>
      </c>
      <c r="BI648">
        <v>10</v>
      </c>
      <c r="BJ648" t="s">
        <v>1722</v>
      </c>
      <c r="BK648" t="s">
        <v>95</v>
      </c>
      <c r="BL648" t="s">
        <v>1722</v>
      </c>
      <c r="BM648" t="s">
        <v>8839</v>
      </c>
      <c r="BN648">
        <v>9841127</v>
      </c>
      <c r="BO648" t="s">
        <v>74</v>
      </c>
      <c r="BP648" t="s">
        <v>74</v>
      </c>
      <c r="BQ648" t="s">
        <v>74</v>
      </c>
      <c r="BR648" t="s">
        <v>98</v>
      </c>
      <c r="BS648" t="s">
        <v>8840</v>
      </c>
      <c r="BT648" t="str">
        <f>HYPERLINK("https%3A%2F%2Fwww.webofscience.com%2Fwos%2Fwoscc%2Ffull-record%2FWOS:000076027900007","View Full Record in Web of Science")</f>
        <v>View Full Record in Web of Science</v>
      </c>
    </row>
    <row r="649" spans="1:72" x14ac:dyDescent="0.15">
      <c r="A649" t="s">
        <v>72</v>
      </c>
      <c r="B649" t="s">
        <v>8841</v>
      </c>
      <c r="C649" t="s">
        <v>74</v>
      </c>
      <c r="D649" t="s">
        <v>74</v>
      </c>
      <c r="E649" t="s">
        <v>74</v>
      </c>
      <c r="F649" t="s">
        <v>8841</v>
      </c>
      <c r="G649" t="s">
        <v>74</v>
      </c>
      <c r="H649" t="s">
        <v>74</v>
      </c>
      <c r="I649" t="s">
        <v>8842</v>
      </c>
      <c r="J649" t="s">
        <v>3481</v>
      </c>
      <c r="K649" t="s">
        <v>74</v>
      </c>
      <c r="L649" t="s">
        <v>74</v>
      </c>
      <c r="M649" t="s">
        <v>77</v>
      </c>
      <c r="N649" t="s">
        <v>103</v>
      </c>
      <c r="O649" t="s">
        <v>74</v>
      </c>
      <c r="P649" t="s">
        <v>74</v>
      </c>
      <c r="Q649" t="s">
        <v>74</v>
      </c>
      <c r="R649" t="s">
        <v>74</v>
      </c>
      <c r="S649" t="s">
        <v>74</v>
      </c>
      <c r="T649" t="s">
        <v>74</v>
      </c>
      <c r="U649" t="s">
        <v>8843</v>
      </c>
      <c r="V649" t="s">
        <v>8844</v>
      </c>
      <c r="W649" t="s">
        <v>8845</v>
      </c>
      <c r="X649" t="s">
        <v>8846</v>
      </c>
      <c r="Y649" t="s">
        <v>8847</v>
      </c>
      <c r="Z649" t="s">
        <v>74</v>
      </c>
      <c r="AA649" t="s">
        <v>74</v>
      </c>
      <c r="AB649" t="s">
        <v>8848</v>
      </c>
      <c r="AC649" t="s">
        <v>74</v>
      </c>
      <c r="AD649" t="s">
        <v>74</v>
      </c>
      <c r="AE649" t="s">
        <v>74</v>
      </c>
      <c r="AF649" t="s">
        <v>74</v>
      </c>
      <c r="AG649">
        <v>31</v>
      </c>
      <c r="AH649">
        <v>3</v>
      </c>
      <c r="AI649">
        <v>3</v>
      </c>
      <c r="AJ649">
        <v>0</v>
      </c>
      <c r="AK649">
        <v>1</v>
      </c>
      <c r="AL649" t="s">
        <v>7060</v>
      </c>
      <c r="AM649" t="s">
        <v>7061</v>
      </c>
      <c r="AN649" t="s">
        <v>7062</v>
      </c>
      <c r="AO649" t="s">
        <v>8849</v>
      </c>
      <c r="AP649" t="s">
        <v>74</v>
      </c>
      <c r="AQ649" t="s">
        <v>74</v>
      </c>
      <c r="AR649" t="s">
        <v>3492</v>
      </c>
      <c r="AS649" t="s">
        <v>3493</v>
      </c>
      <c r="AT649" t="s">
        <v>8101</v>
      </c>
      <c r="AU649">
        <v>1998</v>
      </c>
      <c r="AV649">
        <v>50</v>
      </c>
      <c r="AW649">
        <v>4</v>
      </c>
      <c r="AX649" t="s">
        <v>74</v>
      </c>
      <c r="AY649" t="s">
        <v>74</v>
      </c>
      <c r="AZ649" t="s">
        <v>74</v>
      </c>
      <c r="BA649" t="s">
        <v>74</v>
      </c>
      <c r="BB649">
        <v>424</v>
      </c>
      <c r="BC649">
        <v>441</v>
      </c>
      <c r="BD649" t="s">
        <v>74</v>
      </c>
      <c r="BE649" t="s">
        <v>8850</v>
      </c>
      <c r="BF649" t="str">
        <f>HYPERLINK("http://dx.doi.org/10.1034/j.1600-0870.1998.t01-5-00004.x","http://dx.doi.org/10.1034/j.1600-0870.1998.t01-5-00004.x")</f>
        <v>http://dx.doi.org/10.1034/j.1600-0870.1998.t01-5-00004.x</v>
      </c>
      <c r="BG649" t="s">
        <v>74</v>
      </c>
      <c r="BH649" t="s">
        <v>74</v>
      </c>
      <c r="BI649">
        <v>18</v>
      </c>
      <c r="BJ649" t="s">
        <v>3494</v>
      </c>
      <c r="BK649" t="s">
        <v>95</v>
      </c>
      <c r="BL649" t="s">
        <v>3494</v>
      </c>
      <c r="BM649" t="s">
        <v>8851</v>
      </c>
      <c r="BN649" t="s">
        <v>74</v>
      </c>
      <c r="BO649" t="s">
        <v>74</v>
      </c>
      <c r="BP649" t="s">
        <v>74</v>
      </c>
      <c r="BQ649" t="s">
        <v>74</v>
      </c>
      <c r="BR649" t="s">
        <v>98</v>
      </c>
      <c r="BS649" t="s">
        <v>8852</v>
      </c>
      <c r="BT649" t="str">
        <f>HYPERLINK("https%3A%2F%2Fwww.webofscience.com%2Fwos%2Fwoscc%2Ffull-record%2FWOS:000076077100004","View Full Record in Web of Science")</f>
        <v>View Full Record in Web of Science</v>
      </c>
    </row>
    <row r="650" spans="1:72" x14ac:dyDescent="0.15">
      <c r="A650" t="s">
        <v>72</v>
      </c>
      <c r="B650" t="s">
        <v>8853</v>
      </c>
      <c r="C650" t="s">
        <v>74</v>
      </c>
      <c r="D650" t="s">
        <v>74</v>
      </c>
      <c r="E650" t="s">
        <v>74</v>
      </c>
      <c r="F650" t="s">
        <v>8853</v>
      </c>
      <c r="G650" t="s">
        <v>74</v>
      </c>
      <c r="H650" t="s">
        <v>74</v>
      </c>
      <c r="I650" t="s">
        <v>8854</v>
      </c>
      <c r="J650" t="s">
        <v>8855</v>
      </c>
      <c r="K650" t="s">
        <v>74</v>
      </c>
      <c r="L650" t="s">
        <v>74</v>
      </c>
      <c r="M650" t="s">
        <v>77</v>
      </c>
      <c r="N650" t="s">
        <v>103</v>
      </c>
      <c r="O650" t="s">
        <v>74</v>
      </c>
      <c r="P650" t="s">
        <v>74</v>
      </c>
      <c r="Q650" t="s">
        <v>74</v>
      </c>
      <c r="R650" t="s">
        <v>74</v>
      </c>
      <c r="S650" t="s">
        <v>74</v>
      </c>
      <c r="T650" t="s">
        <v>8856</v>
      </c>
      <c r="U650" t="s">
        <v>8857</v>
      </c>
      <c r="V650" t="s">
        <v>8858</v>
      </c>
      <c r="W650" t="s">
        <v>8859</v>
      </c>
      <c r="X650" t="s">
        <v>8860</v>
      </c>
      <c r="Y650" t="s">
        <v>8861</v>
      </c>
      <c r="Z650" t="s">
        <v>74</v>
      </c>
      <c r="AA650" t="s">
        <v>8862</v>
      </c>
      <c r="AB650" t="s">
        <v>8863</v>
      </c>
      <c r="AC650" t="s">
        <v>74</v>
      </c>
      <c r="AD650" t="s">
        <v>74</v>
      </c>
      <c r="AE650" t="s">
        <v>74</v>
      </c>
      <c r="AF650" t="s">
        <v>74</v>
      </c>
      <c r="AG650">
        <v>10</v>
      </c>
      <c r="AH650">
        <v>22</v>
      </c>
      <c r="AI650">
        <v>24</v>
      </c>
      <c r="AJ650">
        <v>0</v>
      </c>
      <c r="AK650">
        <v>4</v>
      </c>
      <c r="AL650" t="s">
        <v>445</v>
      </c>
      <c r="AM650" t="s">
        <v>229</v>
      </c>
      <c r="AN650" t="s">
        <v>446</v>
      </c>
      <c r="AO650" t="s">
        <v>8864</v>
      </c>
      <c r="AP650" t="s">
        <v>74</v>
      </c>
      <c r="AQ650" t="s">
        <v>74</v>
      </c>
      <c r="AR650" t="s">
        <v>8865</v>
      </c>
      <c r="AS650" t="s">
        <v>8866</v>
      </c>
      <c r="AT650" t="s">
        <v>8867</v>
      </c>
      <c r="AU650">
        <v>1998</v>
      </c>
      <c r="AV650">
        <v>39</v>
      </c>
      <c r="AW650">
        <v>31</v>
      </c>
      <c r="AX650" t="s">
        <v>74</v>
      </c>
      <c r="AY650" t="s">
        <v>74</v>
      </c>
      <c r="AZ650" t="s">
        <v>74</v>
      </c>
      <c r="BA650" t="s">
        <v>74</v>
      </c>
      <c r="BB650">
        <v>5635</v>
      </c>
      <c r="BC650">
        <v>5638</v>
      </c>
      <c r="BD650" t="s">
        <v>74</v>
      </c>
      <c r="BE650" t="s">
        <v>8868</v>
      </c>
      <c r="BF650" t="str">
        <f>HYPERLINK("http://dx.doi.org/10.1016/S0040-4039(98)01095-8","http://dx.doi.org/10.1016/S0040-4039(98)01095-8")</f>
        <v>http://dx.doi.org/10.1016/S0040-4039(98)01095-8</v>
      </c>
      <c r="BG650" t="s">
        <v>74</v>
      </c>
      <c r="BH650" t="s">
        <v>74</v>
      </c>
      <c r="BI650">
        <v>4</v>
      </c>
      <c r="BJ650" t="s">
        <v>8869</v>
      </c>
      <c r="BK650" t="s">
        <v>7708</v>
      </c>
      <c r="BL650" t="s">
        <v>1284</v>
      </c>
      <c r="BM650" t="s">
        <v>8870</v>
      </c>
      <c r="BN650" t="s">
        <v>74</v>
      </c>
      <c r="BO650" t="s">
        <v>74</v>
      </c>
      <c r="BP650" t="s">
        <v>74</v>
      </c>
      <c r="BQ650" t="s">
        <v>74</v>
      </c>
      <c r="BR650" t="s">
        <v>98</v>
      </c>
      <c r="BS650" t="s">
        <v>8871</v>
      </c>
      <c r="BT650" t="str">
        <f>HYPERLINK("https%3A%2F%2Fwww.webofscience.com%2Fwos%2Fwoscc%2Ffull-record%2FWOS:000074831700052","View Full Record in Web of Science")</f>
        <v>View Full Record in Web of Science</v>
      </c>
    </row>
    <row r="651" spans="1:72" x14ac:dyDescent="0.15">
      <c r="A651" t="s">
        <v>72</v>
      </c>
      <c r="B651" t="s">
        <v>8872</v>
      </c>
      <c r="C651" t="s">
        <v>74</v>
      </c>
      <c r="D651" t="s">
        <v>74</v>
      </c>
      <c r="E651" t="s">
        <v>74</v>
      </c>
      <c r="F651" t="s">
        <v>8872</v>
      </c>
      <c r="G651" t="s">
        <v>74</v>
      </c>
      <c r="H651" t="s">
        <v>74</v>
      </c>
      <c r="I651" t="s">
        <v>8873</v>
      </c>
      <c r="J651" t="s">
        <v>4802</v>
      </c>
      <c r="K651" t="s">
        <v>74</v>
      </c>
      <c r="L651" t="s">
        <v>74</v>
      </c>
      <c r="M651" t="s">
        <v>77</v>
      </c>
      <c r="N651" t="s">
        <v>103</v>
      </c>
      <c r="O651" t="s">
        <v>74</v>
      </c>
      <c r="P651" t="s">
        <v>74</v>
      </c>
      <c r="Q651" t="s">
        <v>74</v>
      </c>
      <c r="R651" t="s">
        <v>74</v>
      </c>
      <c r="S651" t="s">
        <v>74</v>
      </c>
      <c r="T651" t="s">
        <v>74</v>
      </c>
      <c r="U651" t="s">
        <v>8874</v>
      </c>
      <c r="V651" t="s">
        <v>8875</v>
      </c>
      <c r="W651" t="s">
        <v>8876</v>
      </c>
      <c r="X651" t="s">
        <v>8877</v>
      </c>
      <c r="Y651" t="s">
        <v>8878</v>
      </c>
      <c r="Z651" t="s">
        <v>74</v>
      </c>
      <c r="AA651" t="s">
        <v>74</v>
      </c>
      <c r="AB651" t="s">
        <v>74</v>
      </c>
      <c r="AC651" t="s">
        <v>74</v>
      </c>
      <c r="AD651" t="s">
        <v>74</v>
      </c>
      <c r="AE651" t="s">
        <v>74</v>
      </c>
      <c r="AF651" t="s">
        <v>74</v>
      </c>
      <c r="AG651">
        <v>49</v>
      </c>
      <c r="AH651">
        <v>16</v>
      </c>
      <c r="AI651">
        <v>20</v>
      </c>
      <c r="AJ651">
        <v>0</v>
      </c>
      <c r="AK651">
        <v>9</v>
      </c>
      <c r="AL651" t="s">
        <v>966</v>
      </c>
      <c r="AM651" t="s">
        <v>967</v>
      </c>
      <c r="AN651" t="s">
        <v>968</v>
      </c>
      <c r="AO651" t="s">
        <v>4811</v>
      </c>
      <c r="AP651" t="s">
        <v>74</v>
      </c>
      <c r="AQ651" t="s">
        <v>74</v>
      </c>
      <c r="AR651" t="s">
        <v>4813</v>
      </c>
      <c r="AS651" t="s">
        <v>4814</v>
      </c>
      <c r="AT651" t="s">
        <v>8879</v>
      </c>
      <c r="AU651">
        <v>1998</v>
      </c>
      <c r="AV651">
        <v>103</v>
      </c>
      <c r="AW651" t="s">
        <v>8880</v>
      </c>
      <c r="AX651" t="s">
        <v>74</v>
      </c>
      <c r="AY651" t="s">
        <v>74</v>
      </c>
      <c r="AZ651" t="s">
        <v>74</v>
      </c>
      <c r="BA651" t="s">
        <v>74</v>
      </c>
      <c r="BB651">
        <v>17041</v>
      </c>
      <c r="BC651">
        <v>17056</v>
      </c>
      <c r="BD651" t="s">
        <v>74</v>
      </c>
      <c r="BE651" t="s">
        <v>8881</v>
      </c>
      <c r="BF651" t="str">
        <f>HYPERLINK("http://dx.doi.org/10.1029/98JD01643","http://dx.doi.org/10.1029/98JD01643")</f>
        <v>http://dx.doi.org/10.1029/98JD01643</v>
      </c>
      <c r="BG651" t="s">
        <v>74</v>
      </c>
      <c r="BH651" t="s">
        <v>74</v>
      </c>
      <c r="BI651">
        <v>16</v>
      </c>
      <c r="BJ651" t="s">
        <v>1418</v>
      </c>
      <c r="BK651" t="s">
        <v>95</v>
      </c>
      <c r="BL651" t="s">
        <v>1418</v>
      </c>
      <c r="BM651" t="s">
        <v>8882</v>
      </c>
      <c r="BN651" t="s">
        <v>74</v>
      </c>
      <c r="BO651" t="s">
        <v>1089</v>
      </c>
      <c r="BP651" t="s">
        <v>74</v>
      </c>
      <c r="BQ651" t="s">
        <v>74</v>
      </c>
      <c r="BR651" t="s">
        <v>98</v>
      </c>
      <c r="BS651" t="s">
        <v>8883</v>
      </c>
      <c r="BT651" t="str">
        <f>HYPERLINK("https%3A%2F%2Fwww.webofscience.com%2Fwos%2Fwoscc%2Ffull-record%2FWOS:000074992200012","View Full Record in Web of Science")</f>
        <v>View Full Record in Web of Science</v>
      </c>
    </row>
    <row r="652" spans="1:72" x14ac:dyDescent="0.15">
      <c r="A652" t="s">
        <v>72</v>
      </c>
      <c r="B652" t="s">
        <v>8884</v>
      </c>
      <c r="C652" t="s">
        <v>74</v>
      </c>
      <c r="D652" t="s">
        <v>74</v>
      </c>
      <c r="E652" t="s">
        <v>74</v>
      </c>
      <c r="F652" t="s">
        <v>8884</v>
      </c>
      <c r="G652" t="s">
        <v>74</v>
      </c>
      <c r="H652" t="s">
        <v>74</v>
      </c>
      <c r="I652" t="s">
        <v>8885</v>
      </c>
      <c r="J652" t="s">
        <v>3749</v>
      </c>
      <c r="K652" t="s">
        <v>74</v>
      </c>
      <c r="L652" t="s">
        <v>74</v>
      </c>
      <c r="M652" t="s">
        <v>77</v>
      </c>
      <c r="N652" t="s">
        <v>103</v>
      </c>
      <c r="O652" t="s">
        <v>74</v>
      </c>
      <c r="P652" t="s">
        <v>74</v>
      </c>
      <c r="Q652" t="s">
        <v>74</v>
      </c>
      <c r="R652" t="s">
        <v>74</v>
      </c>
      <c r="S652" t="s">
        <v>74</v>
      </c>
      <c r="T652" t="s">
        <v>74</v>
      </c>
      <c r="U652" t="s">
        <v>8886</v>
      </c>
      <c r="V652" t="s">
        <v>8887</v>
      </c>
      <c r="W652" t="s">
        <v>8888</v>
      </c>
      <c r="X652" t="s">
        <v>8889</v>
      </c>
      <c r="Y652" t="s">
        <v>8890</v>
      </c>
      <c r="Z652" t="s">
        <v>8891</v>
      </c>
      <c r="AA652" t="s">
        <v>8892</v>
      </c>
      <c r="AB652" t="s">
        <v>8893</v>
      </c>
      <c r="AC652" t="s">
        <v>74</v>
      </c>
      <c r="AD652" t="s">
        <v>74</v>
      </c>
      <c r="AE652" t="s">
        <v>74</v>
      </c>
      <c r="AF652" t="s">
        <v>74</v>
      </c>
      <c r="AG652">
        <v>25</v>
      </c>
      <c r="AH652">
        <v>266</v>
      </c>
      <c r="AI652">
        <v>290</v>
      </c>
      <c r="AJ652">
        <v>0</v>
      </c>
      <c r="AK652">
        <v>39</v>
      </c>
      <c r="AL652" t="s">
        <v>3756</v>
      </c>
      <c r="AM652" t="s">
        <v>967</v>
      </c>
      <c r="AN652" t="s">
        <v>3757</v>
      </c>
      <c r="AO652" t="s">
        <v>3758</v>
      </c>
      <c r="AP652" t="s">
        <v>8894</v>
      </c>
      <c r="AQ652" t="s">
        <v>74</v>
      </c>
      <c r="AR652" t="s">
        <v>3749</v>
      </c>
      <c r="AS652" t="s">
        <v>3759</v>
      </c>
      <c r="AT652" t="s">
        <v>8895</v>
      </c>
      <c r="AU652">
        <v>1998</v>
      </c>
      <c r="AV652">
        <v>281</v>
      </c>
      <c r="AW652">
        <v>5376</v>
      </c>
      <c r="AX652" t="s">
        <v>74</v>
      </c>
      <c r="AY652" t="s">
        <v>74</v>
      </c>
      <c r="AZ652" t="s">
        <v>74</v>
      </c>
      <c r="BA652" t="s">
        <v>74</v>
      </c>
      <c r="BB652">
        <v>549</v>
      </c>
      <c r="BC652">
        <v>551</v>
      </c>
      <c r="BD652" t="s">
        <v>74</v>
      </c>
      <c r="BE652" t="s">
        <v>8896</v>
      </c>
      <c r="BF652" t="str">
        <f>HYPERLINK("http://dx.doi.org/10.1126/science.281.5376.549","http://dx.doi.org/10.1126/science.281.5376.549")</f>
        <v>http://dx.doi.org/10.1126/science.281.5376.549</v>
      </c>
      <c r="BG652" t="s">
        <v>74</v>
      </c>
      <c r="BH652" t="s">
        <v>74</v>
      </c>
      <c r="BI652">
        <v>3</v>
      </c>
      <c r="BJ652" t="s">
        <v>3377</v>
      </c>
      <c r="BK652" t="s">
        <v>95</v>
      </c>
      <c r="BL652" t="s">
        <v>3378</v>
      </c>
      <c r="BM652" t="s">
        <v>8897</v>
      </c>
      <c r="BN652">
        <v>9677195</v>
      </c>
      <c r="BO652" t="s">
        <v>483</v>
      </c>
      <c r="BP652" t="s">
        <v>74</v>
      </c>
      <c r="BQ652" t="s">
        <v>74</v>
      </c>
      <c r="BR652" t="s">
        <v>98</v>
      </c>
      <c r="BS652" t="s">
        <v>8898</v>
      </c>
      <c r="BT652" t="str">
        <f>HYPERLINK("https%3A%2F%2Fwww.webofscience.com%2Fwos%2Fwoscc%2Ffull-record%2FWOS:000075012300037","View Full Record in Web of Science")</f>
        <v>View Full Record in Web of Science</v>
      </c>
    </row>
    <row r="653" spans="1:72" x14ac:dyDescent="0.15">
      <c r="A653" t="s">
        <v>72</v>
      </c>
      <c r="B653" t="s">
        <v>8899</v>
      </c>
      <c r="C653" t="s">
        <v>74</v>
      </c>
      <c r="D653" t="s">
        <v>74</v>
      </c>
      <c r="E653" t="s">
        <v>74</v>
      </c>
      <c r="F653" t="s">
        <v>8899</v>
      </c>
      <c r="G653" t="s">
        <v>74</v>
      </c>
      <c r="H653" t="s">
        <v>74</v>
      </c>
      <c r="I653" t="s">
        <v>8900</v>
      </c>
      <c r="J653" t="s">
        <v>7001</v>
      </c>
      <c r="K653" t="s">
        <v>74</v>
      </c>
      <c r="L653" t="s">
        <v>74</v>
      </c>
      <c r="M653" t="s">
        <v>77</v>
      </c>
      <c r="N653" t="s">
        <v>103</v>
      </c>
      <c r="O653" t="s">
        <v>74</v>
      </c>
      <c r="P653" t="s">
        <v>74</v>
      </c>
      <c r="Q653" t="s">
        <v>74</v>
      </c>
      <c r="R653" t="s">
        <v>74</v>
      </c>
      <c r="S653" t="s">
        <v>74</v>
      </c>
      <c r="T653" t="s">
        <v>74</v>
      </c>
      <c r="U653" t="s">
        <v>8901</v>
      </c>
      <c r="V653" t="s">
        <v>8902</v>
      </c>
      <c r="W653" t="s">
        <v>8903</v>
      </c>
      <c r="X653" t="s">
        <v>3665</v>
      </c>
      <c r="Y653" t="s">
        <v>8904</v>
      </c>
      <c r="Z653" t="s">
        <v>3667</v>
      </c>
      <c r="AA653" t="s">
        <v>74</v>
      </c>
      <c r="AB653" t="s">
        <v>8905</v>
      </c>
      <c r="AC653" t="s">
        <v>74</v>
      </c>
      <c r="AD653" t="s">
        <v>74</v>
      </c>
      <c r="AE653" t="s">
        <v>74</v>
      </c>
      <c r="AF653" t="s">
        <v>74</v>
      </c>
      <c r="AG653">
        <v>35</v>
      </c>
      <c r="AH653">
        <v>41</v>
      </c>
      <c r="AI653">
        <v>50</v>
      </c>
      <c r="AJ653">
        <v>0</v>
      </c>
      <c r="AK653">
        <v>15</v>
      </c>
      <c r="AL653" t="s">
        <v>7010</v>
      </c>
      <c r="AM653" t="s">
        <v>967</v>
      </c>
      <c r="AN653" t="s">
        <v>7011</v>
      </c>
      <c r="AO653" t="s">
        <v>7012</v>
      </c>
      <c r="AP653" t="s">
        <v>74</v>
      </c>
      <c r="AQ653" t="s">
        <v>74</v>
      </c>
      <c r="AR653" t="s">
        <v>7013</v>
      </c>
      <c r="AS653" t="s">
        <v>7014</v>
      </c>
      <c r="AT653" t="s">
        <v>8906</v>
      </c>
      <c r="AU653">
        <v>1998</v>
      </c>
      <c r="AV653">
        <v>95</v>
      </c>
      <c r="AW653">
        <v>15</v>
      </c>
      <c r="AX653" t="s">
        <v>74</v>
      </c>
      <c r="AY653" t="s">
        <v>74</v>
      </c>
      <c r="AZ653" t="s">
        <v>74</v>
      </c>
      <c r="BA653" t="s">
        <v>74</v>
      </c>
      <c r="BB653">
        <v>8670</v>
      </c>
      <c r="BC653">
        <v>8675</v>
      </c>
      <c r="BD653" t="s">
        <v>74</v>
      </c>
      <c r="BE653" t="s">
        <v>8907</v>
      </c>
      <c r="BF653" t="str">
        <f>HYPERLINK("http://dx.doi.org/10.1073/pnas.95.15.8670","http://dx.doi.org/10.1073/pnas.95.15.8670")</f>
        <v>http://dx.doi.org/10.1073/pnas.95.15.8670</v>
      </c>
      <c r="BG653" t="s">
        <v>74</v>
      </c>
      <c r="BH653" t="s">
        <v>74</v>
      </c>
      <c r="BI653">
        <v>6</v>
      </c>
      <c r="BJ653" t="s">
        <v>3377</v>
      </c>
      <c r="BK653" t="s">
        <v>95</v>
      </c>
      <c r="BL653" t="s">
        <v>3378</v>
      </c>
      <c r="BM653" t="s">
        <v>8908</v>
      </c>
      <c r="BN653">
        <v>9671736</v>
      </c>
      <c r="BO653" t="s">
        <v>1005</v>
      </c>
      <c r="BP653" t="s">
        <v>74</v>
      </c>
      <c r="BQ653" t="s">
        <v>74</v>
      </c>
      <c r="BR653" t="s">
        <v>98</v>
      </c>
      <c r="BS653" t="s">
        <v>8909</v>
      </c>
      <c r="BT653" t="str">
        <f>HYPERLINK("https%3A%2F%2Fwww.webofscience.com%2Fwos%2Fwoscc%2Ffull-record%2FWOS:000075143900047","View Full Record in Web of Science")</f>
        <v>View Full Record in Web of Science</v>
      </c>
    </row>
    <row r="654" spans="1:72" x14ac:dyDescent="0.15">
      <c r="A654" t="s">
        <v>72</v>
      </c>
      <c r="B654" t="s">
        <v>8910</v>
      </c>
      <c r="C654" t="s">
        <v>74</v>
      </c>
      <c r="D654" t="s">
        <v>74</v>
      </c>
      <c r="E654" t="s">
        <v>74</v>
      </c>
      <c r="F654" t="s">
        <v>8910</v>
      </c>
      <c r="G654" t="s">
        <v>74</v>
      </c>
      <c r="H654" t="s">
        <v>74</v>
      </c>
      <c r="I654" t="s">
        <v>8911</v>
      </c>
      <c r="J654" t="s">
        <v>8912</v>
      </c>
      <c r="K654" t="s">
        <v>74</v>
      </c>
      <c r="L654" t="s">
        <v>74</v>
      </c>
      <c r="M654" t="s">
        <v>77</v>
      </c>
      <c r="N654" t="s">
        <v>103</v>
      </c>
      <c r="O654" t="s">
        <v>74</v>
      </c>
      <c r="P654" t="s">
        <v>74</v>
      </c>
      <c r="Q654" t="s">
        <v>74</v>
      </c>
      <c r="R654" t="s">
        <v>74</v>
      </c>
      <c r="S654" t="s">
        <v>74</v>
      </c>
      <c r="T654" t="s">
        <v>8913</v>
      </c>
      <c r="U654" t="s">
        <v>8914</v>
      </c>
      <c r="V654" t="s">
        <v>8915</v>
      </c>
      <c r="W654" t="s">
        <v>8916</v>
      </c>
      <c r="X654" t="s">
        <v>8917</v>
      </c>
      <c r="Y654" t="s">
        <v>8918</v>
      </c>
      <c r="Z654" t="s">
        <v>74</v>
      </c>
      <c r="AA654" t="s">
        <v>8919</v>
      </c>
      <c r="AB654" t="s">
        <v>8920</v>
      </c>
      <c r="AC654" t="s">
        <v>74</v>
      </c>
      <c r="AD654" t="s">
        <v>74</v>
      </c>
      <c r="AE654" t="s">
        <v>74</v>
      </c>
      <c r="AF654" t="s">
        <v>74</v>
      </c>
      <c r="AG654">
        <v>49</v>
      </c>
      <c r="AH654">
        <v>290</v>
      </c>
      <c r="AI654">
        <v>312</v>
      </c>
      <c r="AJ654">
        <v>0</v>
      </c>
      <c r="AK654">
        <v>3</v>
      </c>
      <c r="AL654" t="s">
        <v>5025</v>
      </c>
      <c r="AM654" t="s">
        <v>5026</v>
      </c>
      <c r="AN654" t="s">
        <v>8921</v>
      </c>
      <c r="AO654" t="s">
        <v>8922</v>
      </c>
      <c r="AP654" t="s">
        <v>74</v>
      </c>
      <c r="AQ654" t="s">
        <v>74</v>
      </c>
      <c r="AR654" t="s">
        <v>8923</v>
      </c>
      <c r="AS654" t="s">
        <v>8924</v>
      </c>
      <c r="AT654" t="s">
        <v>8925</v>
      </c>
      <c r="AU654">
        <v>1998</v>
      </c>
      <c r="AV654">
        <v>502</v>
      </c>
      <c r="AW654">
        <v>1</v>
      </c>
      <c r="AX654">
        <v>1</v>
      </c>
      <c r="AY654" t="s">
        <v>74</v>
      </c>
      <c r="AZ654" t="s">
        <v>74</v>
      </c>
      <c r="BA654" t="s">
        <v>74</v>
      </c>
      <c r="BB654">
        <v>278</v>
      </c>
      <c r="BC654">
        <v>283</v>
      </c>
      <c r="BD654" t="s">
        <v>74</v>
      </c>
      <c r="BE654" t="s">
        <v>8926</v>
      </c>
      <c r="BF654" t="str">
        <f>HYPERLINK("http://dx.doi.org/10.1086/305882","http://dx.doi.org/10.1086/305882")</f>
        <v>http://dx.doi.org/10.1086/305882</v>
      </c>
      <c r="BG654" t="s">
        <v>74</v>
      </c>
      <c r="BH654" t="s">
        <v>74</v>
      </c>
      <c r="BI654">
        <v>6</v>
      </c>
      <c r="BJ654" t="s">
        <v>1464</v>
      </c>
      <c r="BK654" t="s">
        <v>95</v>
      </c>
      <c r="BL654" t="s">
        <v>1464</v>
      </c>
      <c r="BM654" t="s">
        <v>8927</v>
      </c>
      <c r="BN654" t="s">
        <v>74</v>
      </c>
      <c r="BO654" t="s">
        <v>1089</v>
      </c>
      <c r="BP654" t="s">
        <v>74</v>
      </c>
      <c r="BQ654" t="s">
        <v>74</v>
      </c>
      <c r="BR654" t="s">
        <v>98</v>
      </c>
      <c r="BS654" t="s">
        <v>8928</v>
      </c>
      <c r="BT654" t="str">
        <f>HYPERLINK("https%3A%2F%2Fwww.webofscience.com%2Fwos%2Fwoscc%2Ffull-record%2FWOS:000077743300024","View Full Record in Web of Science")</f>
        <v>View Full Record in Web of Science</v>
      </c>
    </row>
    <row r="655" spans="1:72" x14ac:dyDescent="0.15">
      <c r="A655" t="s">
        <v>72</v>
      </c>
      <c r="B655" t="s">
        <v>8929</v>
      </c>
      <c r="C655" t="s">
        <v>74</v>
      </c>
      <c r="D655" t="s">
        <v>74</v>
      </c>
      <c r="E655" t="s">
        <v>74</v>
      </c>
      <c r="F655" t="s">
        <v>8929</v>
      </c>
      <c r="G655" t="s">
        <v>74</v>
      </c>
      <c r="H655" t="s">
        <v>74</v>
      </c>
      <c r="I655" t="s">
        <v>8930</v>
      </c>
      <c r="J655" t="s">
        <v>4802</v>
      </c>
      <c r="K655" t="s">
        <v>74</v>
      </c>
      <c r="L655" t="s">
        <v>74</v>
      </c>
      <c r="M655" t="s">
        <v>77</v>
      </c>
      <c r="N655" t="s">
        <v>103</v>
      </c>
      <c r="O655" t="s">
        <v>74</v>
      </c>
      <c r="P655" t="s">
        <v>74</v>
      </c>
      <c r="Q655" t="s">
        <v>74</v>
      </c>
      <c r="R655" t="s">
        <v>74</v>
      </c>
      <c r="S655" t="s">
        <v>74</v>
      </c>
      <c r="T655" t="s">
        <v>74</v>
      </c>
      <c r="U655" t="s">
        <v>8931</v>
      </c>
      <c r="V655" t="s">
        <v>8932</v>
      </c>
      <c r="W655" t="s">
        <v>8933</v>
      </c>
      <c r="X655" t="s">
        <v>562</v>
      </c>
      <c r="Y655" t="s">
        <v>8934</v>
      </c>
      <c r="Z655" t="s">
        <v>8935</v>
      </c>
      <c r="AA655" t="s">
        <v>8936</v>
      </c>
      <c r="AB655" t="s">
        <v>8937</v>
      </c>
      <c r="AC655" t="s">
        <v>74</v>
      </c>
      <c r="AD655" t="s">
        <v>74</v>
      </c>
      <c r="AE655" t="s">
        <v>74</v>
      </c>
      <c r="AF655" t="s">
        <v>74</v>
      </c>
      <c r="AG655">
        <v>65</v>
      </c>
      <c r="AH655">
        <v>406</v>
      </c>
      <c r="AI655">
        <v>470</v>
      </c>
      <c r="AJ655">
        <v>5</v>
      </c>
      <c r="AK655">
        <v>85</v>
      </c>
      <c r="AL655" t="s">
        <v>966</v>
      </c>
      <c r="AM655" t="s">
        <v>967</v>
      </c>
      <c r="AN655" t="s">
        <v>968</v>
      </c>
      <c r="AO655" t="s">
        <v>4811</v>
      </c>
      <c r="AP655" t="s">
        <v>74</v>
      </c>
      <c r="AQ655" t="s">
        <v>74</v>
      </c>
      <c r="AR655" t="s">
        <v>4813</v>
      </c>
      <c r="AS655" t="s">
        <v>4814</v>
      </c>
      <c r="AT655" t="s">
        <v>8925</v>
      </c>
      <c r="AU655">
        <v>1998</v>
      </c>
      <c r="AV655">
        <v>103</v>
      </c>
      <c r="AW655" t="s">
        <v>8938</v>
      </c>
      <c r="AX655" t="s">
        <v>74</v>
      </c>
      <c r="AY655" t="s">
        <v>74</v>
      </c>
      <c r="AZ655" t="s">
        <v>74</v>
      </c>
      <c r="BA655" t="s">
        <v>74</v>
      </c>
      <c r="BB655">
        <v>15979</v>
      </c>
      <c r="BC655">
        <v>15993</v>
      </c>
      <c r="BD655" t="s">
        <v>74</v>
      </c>
      <c r="BE655" t="s">
        <v>8939</v>
      </c>
      <c r="BF655" t="str">
        <f>HYPERLINK("http://dx.doi.org/10.1029/98JD00923","http://dx.doi.org/10.1029/98JD00923")</f>
        <v>http://dx.doi.org/10.1029/98JD00923</v>
      </c>
      <c r="BG655" t="s">
        <v>74</v>
      </c>
      <c r="BH655" t="s">
        <v>74</v>
      </c>
      <c r="BI655">
        <v>15</v>
      </c>
      <c r="BJ655" t="s">
        <v>1418</v>
      </c>
      <c r="BK655" t="s">
        <v>95</v>
      </c>
      <c r="BL655" t="s">
        <v>1418</v>
      </c>
      <c r="BM655" t="s">
        <v>8940</v>
      </c>
      <c r="BN655" t="s">
        <v>74</v>
      </c>
      <c r="BO655" t="s">
        <v>74</v>
      </c>
      <c r="BP655" t="s">
        <v>74</v>
      </c>
      <c r="BQ655" t="s">
        <v>74</v>
      </c>
      <c r="BR655" t="s">
        <v>98</v>
      </c>
      <c r="BS655" t="s">
        <v>8941</v>
      </c>
      <c r="BT655" t="str">
        <f>HYPERLINK("https%3A%2F%2Fwww.webofscience.com%2Fwos%2Fwoscc%2Ffull-record%2FWOS:000074828200002","View Full Record in Web of Science")</f>
        <v>View Full Record in Web of Science</v>
      </c>
    </row>
    <row r="656" spans="1:72" x14ac:dyDescent="0.15">
      <c r="A656" t="s">
        <v>72</v>
      </c>
      <c r="B656" t="s">
        <v>8942</v>
      </c>
      <c r="C656" t="s">
        <v>74</v>
      </c>
      <c r="D656" t="s">
        <v>74</v>
      </c>
      <c r="E656" t="s">
        <v>74</v>
      </c>
      <c r="F656" t="s">
        <v>8942</v>
      </c>
      <c r="G656" t="s">
        <v>74</v>
      </c>
      <c r="H656" t="s">
        <v>74</v>
      </c>
      <c r="I656" t="s">
        <v>8943</v>
      </c>
      <c r="J656" t="s">
        <v>4802</v>
      </c>
      <c r="K656" t="s">
        <v>74</v>
      </c>
      <c r="L656" t="s">
        <v>74</v>
      </c>
      <c r="M656" t="s">
        <v>77</v>
      </c>
      <c r="N656" t="s">
        <v>103</v>
      </c>
      <c r="O656" t="s">
        <v>74</v>
      </c>
      <c r="P656" t="s">
        <v>74</v>
      </c>
      <c r="Q656" t="s">
        <v>74</v>
      </c>
      <c r="R656" t="s">
        <v>74</v>
      </c>
      <c r="S656" t="s">
        <v>74</v>
      </c>
      <c r="T656" t="s">
        <v>74</v>
      </c>
      <c r="U656" t="s">
        <v>8944</v>
      </c>
      <c r="V656" t="s">
        <v>8945</v>
      </c>
      <c r="W656" t="s">
        <v>8946</v>
      </c>
      <c r="X656" t="s">
        <v>8947</v>
      </c>
      <c r="Y656" t="s">
        <v>8948</v>
      </c>
      <c r="Z656" t="s">
        <v>8949</v>
      </c>
      <c r="AA656" t="s">
        <v>8950</v>
      </c>
      <c r="AB656" t="s">
        <v>8951</v>
      </c>
      <c r="AC656" t="s">
        <v>74</v>
      </c>
      <c r="AD656" t="s">
        <v>74</v>
      </c>
      <c r="AE656" t="s">
        <v>74</v>
      </c>
      <c r="AF656" t="s">
        <v>74</v>
      </c>
      <c r="AG656">
        <v>59</v>
      </c>
      <c r="AH656">
        <v>41</v>
      </c>
      <c r="AI656">
        <v>42</v>
      </c>
      <c r="AJ656">
        <v>1</v>
      </c>
      <c r="AK656">
        <v>2</v>
      </c>
      <c r="AL656" t="s">
        <v>966</v>
      </c>
      <c r="AM656" t="s">
        <v>967</v>
      </c>
      <c r="AN656" t="s">
        <v>968</v>
      </c>
      <c r="AO656" t="s">
        <v>4811</v>
      </c>
      <c r="AP656" t="s">
        <v>4812</v>
      </c>
      <c r="AQ656" t="s">
        <v>74</v>
      </c>
      <c r="AR656" t="s">
        <v>4813</v>
      </c>
      <c r="AS656" t="s">
        <v>4814</v>
      </c>
      <c r="AT656" t="s">
        <v>8925</v>
      </c>
      <c r="AU656">
        <v>1998</v>
      </c>
      <c r="AV656">
        <v>103</v>
      </c>
      <c r="AW656" t="s">
        <v>8938</v>
      </c>
      <c r="AX656" t="s">
        <v>74</v>
      </c>
      <c r="AY656" t="s">
        <v>74</v>
      </c>
      <c r="AZ656" t="s">
        <v>74</v>
      </c>
      <c r="BA656" t="s">
        <v>74</v>
      </c>
      <c r="BB656">
        <v>16221</v>
      </c>
      <c r="BC656">
        <v>16233</v>
      </c>
      <c r="BD656" t="s">
        <v>74</v>
      </c>
      <c r="BE656" t="s">
        <v>8952</v>
      </c>
      <c r="BF656" t="str">
        <f>HYPERLINK("http://dx.doi.org/10.1029/98JD01083","http://dx.doi.org/10.1029/98JD01083")</f>
        <v>http://dx.doi.org/10.1029/98JD01083</v>
      </c>
      <c r="BG656" t="s">
        <v>74</v>
      </c>
      <c r="BH656" t="s">
        <v>74</v>
      </c>
      <c r="BI656">
        <v>13</v>
      </c>
      <c r="BJ656" t="s">
        <v>1418</v>
      </c>
      <c r="BK656" t="s">
        <v>95</v>
      </c>
      <c r="BL656" t="s">
        <v>1418</v>
      </c>
      <c r="BM656" t="s">
        <v>8940</v>
      </c>
      <c r="BN656" t="s">
        <v>74</v>
      </c>
      <c r="BO656" t="s">
        <v>1089</v>
      </c>
      <c r="BP656" t="s">
        <v>74</v>
      </c>
      <c r="BQ656" t="s">
        <v>74</v>
      </c>
      <c r="BR656" t="s">
        <v>98</v>
      </c>
      <c r="BS656" t="s">
        <v>8953</v>
      </c>
      <c r="BT656" t="str">
        <f>HYPERLINK("https%3A%2F%2Fwww.webofscience.com%2Fwos%2Fwoscc%2Ffull-record%2FWOS:000074828200020","View Full Record in Web of Science")</f>
        <v>View Full Record in Web of Science</v>
      </c>
    </row>
    <row r="657" spans="1:72" x14ac:dyDescent="0.15">
      <c r="A657" t="s">
        <v>72</v>
      </c>
      <c r="B657" t="s">
        <v>8954</v>
      </c>
      <c r="C657" t="s">
        <v>74</v>
      </c>
      <c r="D657" t="s">
        <v>74</v>
      </c>
      <c r="E657" t="s">
        <v>74</v>
      </c>
      <c r="F657" t="s">
        <v>8954</v>
      </c>
      <c r="G657" t="s">
        <v>74</v>
      </c>
      <c r="H657" t="s">
        <v>74</v>
      </c>
      <c r="I657" t="s">
        <v>8955</v>
      </c>
      <c r="J657" t="s">
        <v>4802</v>
      </c>
      <c r="K657" t="s">
        <v>74</v>
      </c>
      <c r="L657" t="s">
        <v>74</v>
      </c>
      <c r="M657" t="s">
        <v>77</v>
      </c>
      <c r="N657" t="s">
        <v>103</v>
      </c>
      <c r="O657" t="s">
        <v>74</v>
      </c>
      <c r="P657" t="s">
        <v>74</v>
      </c>
      <c r="Q657" t="s">
        <v>74</v>
      </c>
      <c r="R657" t="s">
        <v>74</v>
      </c>
      <c r="S657" t="s">
        <v>74</v>
      </c>
      <c r="T657" t="s">
        <v>74</v>
      </c>
      <c r="U657" t="s">
        <v>8956</v>
      </c>
      <c r="V657" t="s">
        <v>8957</v>
      </c>
      <c r="W657" t="s">
        <v>8958</v>
      </c>
      <c r="X657" t="s">
        <v>8959</v>
      </c>
      <c r="Y657" t="s">
        <v>2885</v>
      </c>
      <c r="Z657" t="s">
        <v>8960</v>
      </c>
      <c r="AA657" t="s">
        <v>8961</v>
      </c>
      <c r="AB657" t="s">
        <v>8962</v>
      </c>
      <c r="AC657" t="s">
        <v>74</v>
      </c>
      <c r="AD657" t="s">
        <v>74</v>
      </c>
      <c r="AE657" t="s">
        <v>74</v>
      </c>
      <c r="AF657" t="s">
        <v>74</v>
      </c>
      <c r="AG657">
        <v>31</v>
      </c>
      <c r="AH657">
        <v>38</v>
      </c>
      <c r="AI657">
        <v>41</v>
      </c>
      <c r="AJ657">
        <v>0</v>
      </c>
      <c r="AK657">
        <v>10</v>
      </c>
      <c r="AL657" t="s">
        <v>966</v>
      </c>
      <c r="AM657" t="s">
        <v>967</v>
      </c>
      <c r="AN657" t="s">
        <v>968</v>
      </c>
      <c r="AO657" t="s">
        <v>4811</v>
      </c>
      <c r="AP657" t="s">
        <v>4812</v>
      </c>
      <c r="AQ657" t="s">
        <v>74</v>
      </c>
      <c r="AR657" t="s">
        <v>4813</v>
      </c>
      <c r="AS657" t="s">
        <v>4814</v>
      </c>
      <c r="AT657" t="s">
        <v>8925</v>
      </c>
      <c r="AU657">
        <v>1998</v>
      </c>
      <c r="AV657">
        <v>103</v>
      </c>
      <c r="AW657" t="s">
        <v>8938</v>
      </c>
      <c r="AX657" t="s">
        <v>74</v>
      </c>
      <c r="AY657" t="s">
        <v>74</v>
      </c>
      <c r="AZ657" t="s">
        <v>74</v>
      </c>
      <c r="BA657" t="s">
        <v>74</v>
      </c>
      <c r="BB657">
        <v>16351</v>
      </c>
      <c r="BC657">
        <v>16367</v>
      </c>
      <c r="BD657" t="s">
        <v>74</v>
      </c>
      <c r="BE657" t="s">
        <v>8963</v>
      </c>
      <c r="BF657" t="str">
        <f>HYPERLINK("http://dx.doi.org/10.1029/97JD03014","http://dx.doi.org/10.1029/97JD03014")</f>
        <v>http://dx.doi.org/10.1029/97JD03014</v>
      </c>
      <c r="BG657" t="s">
        <v>74</v>
      </c>
      <c r="BH657" t="s">
        <v>74</v>
      </c>
      <c r="BI657">
        <v>17</v>
      </c>
      <c r="BJ657" t="s">
        <v>1418</v>
      </c>
      <c r="BK657" t="s">
        <v>95</v>
      </c>
      <c r="BL657" t="s">
        <v>1418</v>
      </c>
      <c r="BM657" t="s">
        <v>8940</v>
      </c>
      <c r="BN657" t="s">
        <v>74</v>
      </c>
      <c r="BO657" t="s">
        <v>1089</v>
      </c>
      <c r="BP657" t="s">
        <v>74</v>
      </c>
      <c r="BQ657" t="s">
        <v>74</v>
      </c>
      <c r="BR657" t="s">
        <v>98</v>
      </c>
      <c r="BS657" t="s">
        <v>8964</v>
      </c>
      <c r="BT657" t="str">
        <f>HYPERLINK("https%3A%2F%2Fwww.webofscience.com%2Fwos%2Fwoscc%2Ffull-record%2FWOS:000074828200029","View Full Record in Web of Science")</f>
        <v>View Full Record in Web of Science</v>
      </c>
    </row>
    <row r="658" spans="1:72" x14ac:dyDescent="0.15">
      <c r="A658" t="s">
        <v>72</v>
      </c>
      <c r="B658" t="s">
        <v>8965</v>
      </c>
      <c r="C658" t="s">
        <v>74</v>
      </c>
      <c r="D658" t="s">
        <v>74</v>
      </c>
      <c r="E658" t="s">
        <v>74</v>
      </c>
      <c r="F658" t="s">
        <v>8965</v>
      </c>
      <c r="G658" t="s">
        <v>74</v>
      </c>
      <c r="H658" t="s">
        <v>74</v>
      </c>
      <c r="I658" t="s">
        <v>8966</v>
      </c>
      <c r="J658" t="s">
        <v>4802</v>
      </c>
      <c r="K658" t="s">
        <v>74</v>
      </c>
      <c r="L658" t="s">
        <v>74</v>
      </c>
      <c r="M658" t="s">
        <v>77</v>
      </c>
      <c r="N658" t="s">
        <v>103</v>
      </c>
      <c r="O658" t="s">
        <v>74</v>
      </c>
      <c r="P658" t="s">
        <v>74</v>
      </c>
      <c r="Q658" t="s">
        <v>74</v>
      </c>
      <c r="R658" t="s">
        <v>74</v>
      </c>
      <c r="S658" t="s">
        <v>74</v>
      </c>
      <c r="T658" t="s">
        <v>74</v>
      </c>
      <c r="U658" t="s">
        <v>8967</v>
      </c>
      <c r="V658" t="s">
        <v>8968</v>
      </c>
      <c r="W658" t="s">
        <v>8969</v>
      </c>
      <c r="X658" t="s">
        <v>8970</v>
      </c>
      <c r="Y658" t="s">
        <v>8971</v>
      </c>
      <c r="Z658" t="s">
        <v>8972</v>
      </c>
      <c r="AA658" t="s">
        <v>74</v>
      </c>
      <c r="AB658" t="s">
        <v>74</v>
      </c>
      <c r="AC658" t="s">
        <v>74</v>
      </c>
      <c r="AD658" t="s">
        <v>74</v>
      </c>
      <c r="AE658" t="s">
        <v>74</v>
      </c>
      <c r="AF658" t="s">
        <v>74</v>
      </c>
      <c r="AG658">
        <v>45</v>
      </c>
      <c r="AH658">
        <v>56</v>
      </c>
      <c r="AI658">
        <v>61</v>
      </c>
      <c r="AJ658">
        <v>2</v>
      </c>
      <c r="AK658">
        <v>8</v>
      </c>
      <c r="AL658" t="s">
        <v>966</v>
      </c>
      <c r="AM658" t="s">
        <v>967</v>
      </c>
      <c r="AN658" t="s">
        <v>968</v>
      </c>
      <c r="AO658" t="s">
        <v>4811</v>
      </c>
      <c r="AP658" t="s">
        <v>74</v>
      </c>
      <c r="AQ658" t="s">
        <v>74</v>
      </c>
      <c r="AR658" t="s">
        <v>4813</v>
      </c>
      <c r="AS658" t="s">
        <v>4814</v>
      </c>
      <c r="AT658" t="s">
        <v>8925</v>
      </c>
      <c r="AU658">
        <v>1998</v>
      </c>
      <c r="AV658">
        <v>103</v>
      </c>
      <c r="AW658" t="s">
        <v>8938</v>
      </c>
      <c r="AX658" t="s">
        <v>74</v>
      </c>
      <c r="AY658" t="s">
        <v>74</v>
      </c>
      <c r="AZ658" t="s">
        <v>74</v>
      </c>
      <c r="BA658" t="s">
        <v>74</v>
      </c>
      <c r="BB658">
        <v>16493</v>
      </c>
      <c r="BC658">
        <v>16509</v>
      </c>
      <c r="BD658" t="s">
        <v>74</v>
      </c>
      <c r="BE658" t="s">
        <v>8973</v>
      </c>
      <c r="BF658" t="str">
        <f>HYPERLINK("http://dx.doi.org/10.1029/98JD00770","http://dx.doi.org/10.1029/98JD00770")</f>
        <v>http://dx.doi.org/10.1029/98JD00770</v>
      </c>
      <c r="BG658" t="s">
        <v>74</v>
      </c>
      <c r="BH658" t="s">
        <v>74</v>
      </c>
      <c r="BI658">
        <v>17</v>
      </c>
      <c r="BJ658" t="s">
        <v>1418</v>
      </c>
      <c r="BK658" t="s">
        <v>95</v>
      </c>
      <c r="BL658" t="s">
        <v>1418</v>
      </c>
      <c r="BM658" t="s">
        <v>8940</v>
      </c>
      <c r="BN658" t="s">
        <v>74</v>
      </c>
      <c r="BO658" t="s">
        <v>74</v>
      </c>
      <c r="BP658" t="s">
        <v>74</v>
      </c>
      <c r="BQ658" t="s">
        <v>74</v>
      </c>
      <c r="BR658" t="s">
        <v>98</v>
      </c>
      <c r="BS658" t="s">
        <v>8974</v>
      </c>
      <c r="BT658" t="str">
        <f>HYPERLINK("https%3A%2F%2Fwww.webofscience.com%2Fwos%2Fwoscc%2Ffull-record%2FWOS:000074828200038","View Full Record in Web of Science")</f>
        <v>View Full Record in Web of Science</v>
      </c>
    </row>
    <row r="659" spans="1:72" x14ac:dyDescent="0.15">
      <c r="A659" t="s">
        <v>72</v>
      </c>
      <c r="B659" t="s">
        <v>8975</v>
      </c>
      <c r="C659" t="s">
        <v>74</v>
      </c>
      <c r="D659" t="s">
        <v>74</v>
      </c>
      <c r="E659" t="s">
        <v>74</v>
      </c>
      <c r="F659" t="s">
        <v>8975</v>
      </c>
      <c r="G659" t="s">
        <v>74</v>
      </c>
      <c r="H659" t="s">
        <v>74</v>
      </c>
      <c r="I659" t="s">
        <v>8976</v>
      </c>
      <c r="J659" t="s">
        <v>4802</v>
      </c>
      <c r="K659" t="s">
        <v>74</v>
      </c>
      <c r="L659" t="s">
        <v>74</v>
      </c>
      <c r="M659" t="s">
        <v>77</v>
      </c>
      <c r="N659" t="s">
        <v>103</v>
      </c>
      <c r="O659" t="s">
        <v>74</v>
      </c>
      <c r="P659" t="s">
        <v>74</v>
      </c>
      <c r="Q659" t="s">
        <v>74</v>
      </c>
      <c r="R659" t="s">
        <v>74</v>
      </c>
      <c r="S659" t="s">
        <v>74</v>
      </c>
      <c r="T659" t="s">
        <v>74</v>
      </c>
      <c r="U659" t="s">
        <v>8977</v>
      </c>
      <c r="V659" t="s">
        <v>8978</v>
      </c>
      <c r="W659" t="s">
        <v>8979</v>
      </c>
      <c r="X659" t="s">
        <v>8980</v>
      </c>
      <c r="Y659" t="s">
        <v>8981</v>
      </c>
      <c r="Z659" t="s">
        <v>74</v>
      </c>
      <c r="AA659" t="s">
        <v>74</v>
      </c>
      <c r="AB659" t="s">
        <v>8982</v>
      </c>
      <c r="AC659" t="s">
        <v>74</v>
      </c>
      <c r="AD659" t="s">
        <v>74</v>
      </c>
      <c r="AE659" t="s">
        <v>74</v>
      </c>
      <c r="AF659" t="s">
        <v>74</v>
      </c>
      <c r="AG659">
        <v>71</v>
      </c>
      <c r="AH659">
        <v>88</v>
      </c>
      <c r="AI659">
        <v>94</v>
      </c>
      <c r="AJ659">
        <v>0</v>
      </c>
      <c r="AK659">
        <v>14</v>
      </c>
      <c r="AL659" t="s">
        <v>966</v>
      </c>
      <c r="AM659" t="s">
        <v>967</v>
      </c>
      <c r="AN659" t="s">
        <v>968</v>
      </c>
      <c r="AO659" t="s">
        <v>4811</v>
      </c>
      <c r="AP659" t="s">
        <v>4812</v>
      </c>
      <c r="AQ659" t="s">
        <v>74</v>
      </c>
      <c r="AR659" t="s">
        <v>4813</v>
      </c>
      <c r="AS659" t="s">
        <v>4814</v>
      </c>
      <c r="AT659" t="s">
        <v>8925</v>
      </c>
      <c r="AU659">
        <v>1998</v>
      </c>
      <c r="AV659">
        <v>103</v>
      </c>
      <c r="AW659" t="s">
        <v>8938</v>
      </c>
      <c r="AX659" t="s">
        <v>74</v>
      </c>
      <c r="AY659" t="s">
        <v>74</v>
      </c>
      <c r="AZ659" t="s">
        <v>74</v>
      </c>
      <c r="BA659" t="s">
        <v>74</v>
      </c>
      <c r="BB659">
        <v>16677</v>
      </c>
      <c r="BC659">
        <v>16689</v>
      </c>
      <c r="BD659" t="s">
        <v>74</v>
      </c>
      <c r="BE659" t="s">
        <v>8983</v>
      </c>
      <c r="BF659" t="str">
        <f>HYPERLINK("http://dx.doi.org/10.1029/97JD03453","http://dx.doi.org/10.1029/97JD03453")</f>
        <v>http://dx.doi.org/10.1029/97JD03453</v>
      </c>
      <c r="BG659" t="s">
        <v>74</v>
      </c>
      <c r="BH659" t="s">
        <v>74</v>
      </c>
      <c r="BI659">
        <v>13</v>
      </c>
      <c r="BJ659" t="s">
        <v>1418</v>
      </c>
      <c r="BK659" t="s">
        <v>95</v>
      </c>
      <c r="BL659" t="s">
        <v>1418</v>
      </c>
      <c r="BM659" t="s">
        <v>8940</v>
      </c>
      <c r="BN659" t="s">
        <v>74</v>
      </c>
      <c r="BO659" t="s">
        <v>1089</v>
      </c>
      <c r="BP659" t="s">
        <v>74</v>
      </c>
      <c r="BQ659" t="s">
        <v>74</v>
      </c>
      <c r="BR659" t="s">
        <v>98</v>
      </c>
      <c r="BS659" t="s">
        <v>8984</v>
      </c>
      <c r="BT659" t="str">
        <f>HYPERLINK("https%3A%2F%2Fwww.webofscience.com%2Fwos%2Fwoscc%2Ffull-record%2FWOS:000074828200051","View Full Record in Web of Science")</f>
        <v>View Full Record in Web of Science</v>
      </c>
    </row>
    <row r="660" spans="1:72" x14ac:dyDescent="0.15">
      <c r="A660" t="s">
        <v>72</v>
      </c>
      <c r="B660" t="s">
        <v>8985</v>
      </c>
      <c r="C660" t="s">
        <v>74</v>
      </c>
      <c r="D660" t="s">
        <v>74</v>
      </c>
      <c r="E660" t="s">
        <v>74</v>
      </c>
      <c r="F660" t="s">
        <v>8985</v>
      </c>
      <c r="G660" t="s">
        <v>74</v>
      </c>
      <c r="H660" t="s">
        <v>74</v>
      </c>
      <c r="I660" t="s">
        <v>8986</v>
      </c>
      <c r="J660" t="s">
        <v>4802</v>
      </c>
      <c r="K660" t="s">
        <v>74</v>
      </c>
      <c r="L660" t="s">
        <v>74</v>
      </c>
      <c r="M660" t="s">
        <v>77</v>
      </c>
      <c r="N660" t="s">
        <v>103</v>
      </c>
      <c r="O660" t="s">
        <v>74</v>
      </c>
      <c r="P660" t="s">
        <v>74</v>
      </c>
      <c r="Q660" t="s">
        <v>74</v>
      </c>
      <c r="R660" t="s">
        <v>74</v>
      </c>
      <c r="S660" t="s">
        <v>74</v>
      </c>
      <c r="T660" t="s">
        <v>74</v>
      </c>
      <c r="U660" t="s">
        <v>8987</v>
      </c>
      <c r="V660" t="s">
        <v>8988</v>
      </c>
      <c r="W660" t="s">
        <v>8989</v>
      </c>
      <c r="X660" t="s">
        <v>8990</v>
      </c>
      <c r="Y660" t="s">
        <v>8991</v>
      </c>
      <c r="Z660" t="s">
        <v>74</v>
      </c>
      <c r="AA660" t="s">
        <v>8992</v>
      </c>
      <c r="AB660" t="s">
        <v>8993</v>
      </c>
      <c r="AC660" t="s">
        <v>74</v>
      </c>
      <c r="AD660" t="s">
        <v>74</v>
      </c>
      <c r="AE660" t="s">
        <v>74</v>
      </c>
      <c r="AF660" t="s">
        <v>74</v>
      </c>
      <c r="AG660">
        <v>56</v>
      </c>
      <c r="AH660">
        <v>47</v>
      </c>
      <c r="AI660">
        <v>47</v>
      </c>
      <c r="AJ660">
        <v>0</v>
      </c>
      <c r="AK660">
        <v>12</v>
      </c>
      <c r="AL660" t="s">
        <v>966</v>
      </c>
      <c r="AM660" t="s">
        <v>967</v>
      </c>
      <c r="AN660" t="s">
        <v>968</v>
      </c>
      <c r="AO660" t="s">
        <v>4811</v>
      </c>
      <c r="AP660" t="s">
        <v>4812</v>
      </c>
      <c r="AQ660" t="s">
        <v>74</v>
      </c>
      <c r="AR660" t="s">
        <v>4813</v>
      </c>
      <c r="AS660" t="s">
        <v>4814</v>
      </c>
      <c r="AT660" t="s">
        <v>8925</v>
      </c>
      <c r="AU660">
        <v>1998</v>
      </c>
      <c r="AV660">
        <v>103</v>
      </c>
      <c r="AW660" t="s">
        <v>8938</v>
      </c>
      <c r="AX660" t="s">
        <v>74</v>
      </c>
      <c r="AY660" t="s">
        <v>74</v>
      </c>
      <c r="AZ660" t="s">
        <v>74</v>
      </c>
      <c r="BA660" t="s">
        <v>74</v>
      </c>
      <c r="BB660">
        <v>16691</v>
      </c>
      <c r="BC660">
        <v>16701</v>
      </c>
      <c r="BD660" t="s">
        <v>74</v>
      </c>
      <c r="BE660" t="s">
        <v>8994</v>
      </c>
      <c r="BF660" t="str">
        <f>HYPERLINK("http://dx.doi.org/10.1029/98JD01200","http://dx.doi.org/10.1029/98JD01200")</f>
        <v>http://dx.doi.org/10.1029/98JD01200</v>
      </c>
      <c r="BG660" t="s">
        <v>74</v>
      </c>
      <c r="BH660" t="s">
        <v>74</v>
      </c>
      <c r="BI660">
        <v>11</v>
      </c>
      <c r="BJ660" t="s">
        <v>1418</v>
      </c>
      <c r="BK660" t="s">
        <v>95</v>
      </c>
      <c r="BL660" t="s">
        <v>1418</v>
      </c>
      <c r="BM660" t="s">
        <v>8940</v>
      </c>
      <c r="BN660" t="s">
        <v>74</v>
      </c>
      <c r="BO660" t="s">
        <v>74</v>
      </c>
      <c r="BP660" t="s">
        <v>74</v>
      </c>
      <c r="BQ660" t="s">
        <v>74</v>
      </c>
      <c r="BR660" t="s">
        <v>98</v>
      </c>
      <c r="BS660" t="s">
        <v>8995</v>
      </c>
      <c r="BT660" t="str">
        <f>HYPERLINK("https%3A%2F%2Fwww.webofscience.com%2Fwos%2Fwoscc%2Ffull-record%2FWOS:000074828200052","View Full Record in Web of Science")</f>
        <v>View Full Record in Web of Science</v>
      </c>
    </row>
    <row r="661" spans="1:72" x14ac:dyDescent="0.15">
      <c r="A661" t="s">
        <v>72</v>
      </c>
      <c r="B661" t="s">
        <v>8996</v>
      </c>
      <c r="C661" t="s">
        <v>74</v>
      </c>
      <c r="D661" t="s">
        <v>74</v>
      </c>
      <c r="E661" t="s">
        <v>74</v>
      </c>
      <c r="F661" t="s">
        <v>8996</v>
      </c>
      <c r="G661" t="s">
        <v>74</v>
      </c>
      <c r="H661" t="s">
        <v>74</v>
      </c>
      <c r="I661" t="s">
        <v>8997</v>
      </c>
      <c r="J661" t="s">
        <v>8998</v>
      </c>
      <c r="K661" t="s">
        <v>74</v>
      </c>
      <c r="L661" t="s">
        <v>74</v>
      </c>
      <c r="M661" t="s">
        <v>77</v>
      </c>
      <c r="N661" t="s">
        <v>103</v>
      </c>
      <c r="O661" t="s">
        <v>74</v>
      </c>
      <c r="P661" t="s">
        <v>74</v>
      </c>
      <c r="Q661" t="s">
        <v>74</v>
      </c>
      <c r="R661" t="s">
        <v>74</v>
      </c>
      <c r="S661" t="s">
        <v>74</v>
      </c>
      <c r="T661" t="s">
        <v>8999</v>
      </c>
      <c r="U661" t="s">
        <v>9000</v>
      </c>
      <c r="V661" t="s">
        <v>9001</v>
      </c>
      <c r="W661" t="s">
        <v>9002</v>
      </c>
      <c r="X661" t="s">
        <v>9003</v>
      </c>
      <c r="Y661" t="s">
        <v>9004</v>
      </c>
      <c r="Z661" t="s">
        <v>9005</v>
      </c>
      <c r="AA661" t="s">
        <v>74</v>
      </c>
      <c r="AB661" t="s">
        <v>74</v>
      </c>
      <c r="AC661" t="s">
        <v>74</v>
      </c>
      <c r="AD661" t="s">
        <v>74</v>
      </c>
      <c r="AE661" t="s">
        <v>74</v>
      </c>
      <c r="AF661" t="s">
        <v>74</v>
      </c>
      <c r="AG661">
        <v>32</v>
      </c>
      <c r="AH661">
        <v>17</v>
      </c>
      <c r="AI661">
        <v>22</v>
      </c>
      <c r="AJ661">
        <v>1</v>
      </c>
      <c r="AK661">
        <v>1</v>
      </c>
      <c r="AL661" t="s">
        <v>4439</v>
      </c>
      <c r="AM661" t="s">
        <v>229</v>
      </c>
      <c r="AN661" t="s">
        <v>4440</v>
      </c>
      <c r="AO661" t="s">
        <v>9006</v>
      </c>
      <c r="AP661" t="s">
        <v>9007</v>
      </c>
      <c r="AQ661" t="s">
        <v>74</v>
      </c>
      <c r="AR661" t="s">
        <v>9008</v>
      </c>
      <c r="AS661" t="s">
        <v>9009</v>
      </c>
      <c r="AT661" t="s">
        <v>9010</v>
      </c>
      <c r="AU661">
        <v>1998</v>
      </c>
      <c r="AV661">
        <v>164</v>
      </c>
      <c r="AW661">
        <v>2</v>
      </c>
      <c r="AX661" t="s">
        <v>74</v>
      </c>
      <c r="AY661" t="s">
        <v>74</v>
      </c>
      <c r="AZ661" t="s">
        <v>74</v>
      </c>
      <c r="BA661" t="s">
        <v>74</v>
      </c>
      <c r="BB661">
        <v>375</v>
      </c>
      <c r="BC661">
        <v>382</v>
      </c>
      <c r="BD661" t="s">
        <v>74</v>
      </c>
      <c r="BE661" t="s">
        <v>9011</v>
      </c>
      <c r="BF661" t="str">
        <f>HYPERLINK("http://dx.doi.org/10.1111/j.1574-6968.1998.tb13112.x","http://dx.doi.org/10.1111/j.1574-6968.1998.tb13112.x")</f>
        <v>http://dx.doi.org/10.1111/j.1574-6968.1998.tb13112.x</v>
      </c>
      <c r="BG661" t="s">
        <v>74</v>
      </c>
      <c r="BH661" t="s">
        <v>74</v>
      </c>
      <c r="BI661">
        <v>8</v>
      </c>
      <c r="BJ661" t="s">
        <v>5766</v>
      </c>
      <c r="BK661" t="s">
        <v>95</v>
      </c>
      <c r="BL661" t="s">
        <v>5766</v>
      </c>
      <c r="BM661" t="s">
        <v>9012</v>
      </c>
      <c r="BN661">
        <v>9682487</v>
      </c>
      <c r="BO661" t="s">
        <v>1089</v>
      </c>
      <c r="BP661" t="s">
        <v>74</v>
      </c>
      <c r="BQ661" t="s">
        <v>74</v>
      </c>
      <c r="BR661" t="s">
        <v>98</v>
      </c>
      <c r="BS661" t="s">
        <v>9013</v>
      </c>
      <c r="BT661" t="str">
        <f>HYPERLINK("https%3A%2F%2Fwww.webofscience.com%2Fwos%2Fwoscc%2Ffull-record%2FWOS:000074841800022","View Full Record in Web of Science")</f>
        <v>View Full Record in Web of Science</v>
      </c>
    </row>
    <row r="662" spans="1:72" x14ac:dyDescent="0.15">
      <c r="A662" t="s">
        <v>72</v>
      </c>
      <c r="B662" t="s">
        <v>9014</v>
      </c>
      <c r="C662" t="s">
        <v>74</v>
      </c>
      <c r="D662" t="s">
        <v>74</v>
      </c>
      <c r="E662" t="s">
        <v>74</v>
      </c>
      <c r="F662" t="s">
        <v>9014</v>
      </c>
      <c r="G662" t="s">
        <v>74</v>
      </c>
      <c r="H662" t="s">
        <v>74</v>
      </c>
      <c r="I662" t="s">
        <v>9015</v>
      </c>
      <c r="J662" t="s">
        <v>958</v>
      </c>
      <c r="K662" t="s">
        <v>74</v>
      </c>
      <c r="L662" t="s">
        <v>74</v>
      </c>
      <c r="M662" t="s">
        <v>77</v>
      </c>
      <c r="N662" t="s">
        <v>103</v>
      </c>
      <c r="O662" t="s">
        <v>74</v>
      </c>
      <c r="P662" t="s">
        <v>74</v>
      </c>
      <c r="Q662" t="s">
        <v>74</v>
      </c>
      <c r="R662" t="s">
        <v>74</v>
      </c>
      <c r="S662" t="s">
        <v>74</v>
      </c>
      <c r="T662" t="s">
        <v>74</v>
      </c>
      <c r="U662" t="s">
        <v>9016</v>
      </c>
      <c r="V662" t="s">
        <v>9017</v>
      </c>
      <c r="W662" t="s">
        <v>9018</v>
      </c>
      <c r="X662" t="s">
        <v>9019</v>
      </c>
      <c r="Y662" t="s">
        <v>9020</v>
      </c>
      <c r="Z662" t="s">
        <v>74</v>
      </c>
      <c r="AA662" t="s">
        <v>9021</v>
      </c>
      <c r="AB662" t="s">
        <v>8487</v>
      </c>
      <c r="AC662" t="s">
        <v>74</v>
      </c>
      <c r="AD662" t="s">
        <v>74</v>
      </c>
      <c r="AE662" t="s">
        <v>74</v>
      </c>
      <c r="AF662" t="s">
        <v>74</v>
      </c>
      <c r="AG662">
        <v>18</v>
      </c>
      <c r="AH662">
        <v>30</v>
      </c>
      <c r="AI662">
        <v>32</v>
      </c>
      <c r="AJ662">
        <v>0</v>
      </c>
      <c r="AK662">
        <v>1</v>
      </c>
      <c r="AL662" t="s">
        <v>966</v>
      </c>
      <c r="AM662" t="s">
        <v>967</v>
      </c>
      <c r="AN662" t="s">
        <v>968</v>
      </c>
      <c r="AO662" t="s">
        <v>969</v>
      </c>
      <c r="AP662" t="s">
        <v>74</v>
      </c>
      <c r="AQ662" t="s">
        <v>74</v>
      </c>
      <c r="AR662" t="s">
        <v>970</v>
      </c>
      <c r="AS662" t="s">
        <v>971</v>
      </c>
      <c r="AT662" t="s">
        <v>9010</v>
      </c>
      <c r="AU662">
        <v>1998</v>
      </c>
      <c r="AV662">
        <v>25</v>
      </c>
      <c r="AW662">
        <v>14</v>
      </c>
      <c r="AX662" t="s">
        <v>74</v>
      </c>
      <c r="AY662" t="s">
        <v>74</v>
      </c>
      <c r="AZ662" t="s">
        <v>74</v>
      </c>
      <c r="BA662" t="s">
        <v>74</v>
      </c>
      <c r="BB662">
        <v>2601</v>
      </c>
      <c r="BC662">
        <v>2604</v>
      </c>
      <c r="BD662" t="s">
        <v>74</v>
      </c>
      <c r="BE662" t="s">
        <v>9022</v>
      </c>
      <c r="BF662" t="str">
        <f>HYPERLINK("http://dx.doi.org/10.1029/98GL01413","http://dx.doi.org/10.1029/98GL01413")</f>
        <v>http://dx.doi.org/10.1029/98GL01413</v>
      </c>
      <c r="BG662" t="s">
        <v>74</v>
      </c>
      <c r="BH662" t="s">
        <v>74</v>
      </c>
      <c r="BI662">
        <v>4</v>
      </c>
      <c r="BJ662" t="s">
        <v>192</v>
      </c>
      <c r="BK662" t="s">
        <v>95</v>
      </c>
      <c r="BL662" t="s">
        <v>193</v>
      </c>
      <c r="BM662" t="s">
        <v>9023</v>
      </c>
      <c r="BN662" t="s">
        <v>74</v>
      </c>
      <c r="BO662" t="s">
        <v>74</v>
      </c>
      <c r="BP662" t="s">
        <v>74</v>
      </c>
      <c r="BQ662" t="s">
        <v>74</v>
      </c>
      <c r="BR662" t="s">
        <v>98</v>
      </c>
      <c r="BS662" t="s">
        <v>9024</v>
      </c>
      <c r="BT662" t="str">
        <f>HYPERLINK("https%3A%2F%2Fwww.webofscience.com%2Fwos%2Fwoscc%2Ffull-record%2FWOS:000074886300036","View Full Record in Web of Science")</f>
        <v>View Full Record in Web of Science</v>
      </c>
    </row>
    <row r="663" spans="1:72" x14ac:dyDescent="0.15">
      <c r="A663" t="s">
        <v>72</v>
      </c>
      <c r="B663" t="s">
        <v>9025</v>
      </c>
      <c r="C663" t="s">
        <v>74</v>
      </c>
      <c r="D663" t="s">
        <v>74</v>
      </c>
      <c r="E663" t="s">
        <v>74</v>
      </c>
      <c r="F663" t="s">
        <v>9025</v>
      </c>
      <c r="G663" t="s">
        <v>74</v>
      </c>
      <c r="H663" t="s">
        <v>74</v>
      </c>
      <c r="I663" t="s">
        <v>9026</v>
      </c>
      <c r="J663" t="s">
        <v>958</v>
      </c>
      <c r="K663" t="s">
        <v>74</v>
      </c>
      <c r="L663" t="s">
        <v>74</v>
      </c>
      <c r="M663" t="s">
        <v>77</v>
      </c>
      <c r="N663" t="s">
        <v>103</v>
      </c>
      <c r="O663" t="s">
        <v>74</v>
      </c>
      <c r="P663" t="s">
        <v>74</v>
      </c>
      <c r="Q663" t="s">
        <v>74</v>
      </c>
      <c r="R663" t="s">
        <v>74</v>
      </c>
      <c r="S663" t="s">
        <v>74</v>
      </c>
      <c r="T663" t="s">
        <v>74</v>
      </c>
      <c r="U663" t="s">
        <v>9027</v>
      </c>
      <c r="V663" t="s">
        <v>9028</v>
      </c>
      <c r="W663" t="s">
        <v>9029</v>
      </c>
      <c r="X663" t="s">
        <v>9030</v>
      </c>
      <c r="Y663" t="s">
        <v>9031</v>
      </c>
      <c r="Z663" t="s">
        <v>9032</v>
      </c>
      <c r="AA663" t="s">
        <v>74</v>
      </c>
      <c r="AB663" t="s">
        <v>74</v>
      </c>
      <c r="AC663" t="s">
        <v>74</v>
      </c>
      <c r="AD663" t="s">
        <v>74</v>
      </c>
      <c r="AE663" t="s">
        <v>74</v>
      </c>
      <c r="AF663" t="s">
        <v>74</v>
      </c>
      <c r="AG663">
        <v>18</v>
      </c>
      <c r="AH663">
        <v>84</v>
      </c>
      <c r="AI663">
        <v>90</v>
      </c>
      <c r="AJ663">
        <v>0</v>
      </c>
      <c r="AK663">
        <v>6</v>
      </c>
      <c r="AL663" t="s">
        <v>966</v>
      </c>
      <c r="AM663" t="s">
        <v>967</v>
      </c>
      <c r="AN663" t="s">
        <v>968</v>
      </c>
      <c r="AO663" t="s">
        <v>969</v>
      </c>
      <c r="AP663" t="s">
        <v>5234</v>
      </c>
      <c r="AQ663" t="s">
        <v>74</v>
      </c>
      <c r="AR663" t="s">
        <v>970</v>
      </c>
      <c r="AS663" t="s">
        <v>971</v>
      </c>
      <c r="AT663" t="s">
        <v>9010</v>
      </c>
      <c r="AU663">
        <v>1998</v>
      </c>
      <c r="AV663">
        <v>25</v>
      </c>
      <c r="AW663">
        <v>14</v>
      </c>
      <c r="AX663" t="s">
        <v>74</v>
      </c>
      <c r="AY663" t="s">
        <v>74</v>
      </c>
      <c r="AZ663" t="s">
        <v>74</v>
      </c>
      <c r="BA663" t="s">
        <v>74</v>
      </c>
      <c r="BB663">
        <v>2703</v>
      </c>
      <c r="BC663">
        <v>2706</v>
      </c>
      <c r="BD663" t="s">
        <v>74</v>
      </c>
      <c r="BE663" t="s">
        <v>9033</v>
      </c>
      <c r="BF663" t="str">
        <f>HYPERLINK("http://dx.doi.org/10.1029/98GL02012","http://dx.doi.org/10.1029/98GL02012")</f>
        <v>http://dx.doi.org/10.1029/98GL02012</v>
      </c>
      <c r="BG663" t="s">
        <v>74</v>
      </c>
      <c r="BH663" t="s">
        <v>74</v>
      </c>
      <c r="BI663">
        <v>4</v>
      </c>
      <c r="BJ663" t="s">
        <v>192</v>
      </c>
      <c r="BK663" t="s">
        <v>95</v>
      </c>
      <c r="BL663" t="s">
        <v>193</v>
      </c>
      <c r="BM663" t="s">
        <v>9023</v>
      </c>
      <c r="BN663" t="s">
        <v>74</v>
      </c>
      <c r="BO663" t="s">
        <v>1524</v>
      </c>
      <c r="BP663" t="s">
        <v>74</v>
      </c>
      <c r="BQ663" t="s">
        <v>74</v>
      </c>
      <c r="BR663" t="s">
        <v>98</v>
      </c>
      <c r="BS663" t="s">
        <v>9034</v>
      </c>
      <c r="BT663" t="str">
        <f>HYPERLINK("https%3A%2F%2Fwww.webofscience.com%2Fwos%2Fwoscc%2Ffull-record%2FWOS:000074886300062","View Full Record in Web of Science")</f>
        <v>View Full Record in Web of Science</v>
      </c>
    </row>
    <row r="664" spans="1:72" x14ac:dyDescent="0.15">
      <c r="A664" t="s">
        <v>72</v>
      </c>
      <c r="B664" t="s">
        <v>9035</v>
      </c>
      <c r="C664" t="s">
        <v>74</v>
      </c>
      <c r="D664" t="s">
        <v>74</v>
      </c>
      <c r="E664" t="s">
        <v>74</v>
      </c>
      <c r="F664" t="s">
        <v>9035</v>
      </c>
      <c r="G664" t="s">
        <v>74</v>
      </c>
      <c r="H664" t="s">
        <v>74</v>
      </c>
      <c r="I664" t="s">
        <v>9036</v>
      </c>
      <c r="J664" t="s">
        <v>3825</v>
      </c>
      <c r="K664" t="s">
        <v>74</v>
      </c>
      <c r="L664" t="s">
        <v>74</v>
      </c>
      <c r="M664" t="s">
        <v>77</v>
      </c>
      <c r="N664" t="s">
        <v>103</v>
      </c>
      <c r="O664" t="s">
        <v>74</v>
      </c>
      <c r="P664" t="s">
        <v>74</v>
      </c>
      <c r="Q664" t="s">
        <v>74</v>
      </c>
      <c r="R664" t="s">
        <v>74</v>
      </c>
      <c r="S664" t="s">
        <v>74</v>
      </c>
      <c r="T664" t="s">
        <v>74</v>
      </c>
      <c r="U664" t="s">
        <v>9037</v>
      </c>
      <c r="V664" t="s">
        <v>9038</v>
      </c>
      <c r="W664" t="s">
        <v>9039</v>
      </c>
      <c r="X664" t="s">
        <v>9040</v>
      </c>
      <c r="Y664" t="s">
        <v>9041</v>
      </c>
      <c r="Z664" t="s">
        <v>74</v>
      </c>
      <c r="AA664" t="s">
        <v>74</v>
      </c>
      <c r="AB664" t="s">
        <v>6993</v>
      </c>
      <c r="AC664" t="s">
        <v>74</v>
      </c>
      <c r="AD664" t="s">
        <v>74</v>
      </c>
      <c r="AE664" t="s">
        <v>74</v>
      </c>
      <c r="AF664" t="s">
        <v>74</v>
      </c>
      <c r="AG664">
        <v>49</v>
      </c>
      <c r="AH664">
        <v>330</v>
      </c>
      <c r="AI664">
        <v>376</v>
      </c>
      <c r="AJ664">
        <v>1</v>
      </c>
      <c r="AK664">
        <v>88</v>
      </c>
      <c r="AL664" t="s">
        <v>966</v>
      </c>
      <c r="AM664" t="s">
        <v>967</v>
      </c>
      <c r="AN664" t="s">
        <v>968</v>
      </c>
      <c r="AO664" t="s">
        <v>74</v>
      </c>
      <c r="AP664" t="s">
        <v>74</v>
      </c>
      <c r="AQ664" t="s">
        <v>74</v>
      </c>
      <c r="AR664" t="s">
        <v>3835</v>
      </c>
      <c r="AS664" t="s">
        <v>3836</v>
      </c>
      <c r="AT664" t="s">
        <v>9010</v>
      </c>
      <c r="AU664">
        <v>1998</v>
      </c>
      <c r="AV664">
        <v>103</v>
      </c>
      <c r="AW664" t="s">
        <v>9042</v>
      </c>
      <c r="AX664" t="s">
        <v>74</v>
      </c>
      <c r="AY664" t="s">
        <v>74</v>
      </c>
      <c r="AZ664" t="s">
        <v>74</v>
      </c>
      <c r="BA664" t="s">
        <v>74</v>
      </c>
      <c r="BB664">
        <v>15587</v>
      </c>
      <c r="BC664">
        <v>15600</v>
      </c>
      <c r="BD664" t="s">
        <v>74</v>
      </c>
      <c r="BE664" t="s">
        <v>9043</v>
      </c>
      <c r="BF664" t="str">
        <f>HYPERLINK("http://dx.doi.org/10.1029/98JC00930","http://dx.doi.org/10.1029/98JC00930")</f>
        <v>http://dx.doi.org/10.1029/98JC00930</v>
      </c>
      <c r="BG664" t="s">
        <v>74</v>
      </c>
      <c r="BH664" t="s">
        <v>74</v>
      </c>
      <c r="BI664">
        <v>14</v>
      </c>
      <c r="BJ664" t="s">
        <v>451</v>
      </c>
      <c r="BK664" t="s">
        <v>95</v>
      </c>
      <c r="BL664" t="s">
        <v>451</v>
      </c>
      <c r="BM664" t="s">
        <v>9044</v>
      </c>
      <c r="BN664" t="s">
        <v>74</v>
      </c>
      <c r="BO664" t="s">
        <v>1089</v>
      </c>
      <c r="BP664" t="s">
        <v>74</v>
      </c>
      <c r="BQ664" t="s">
        <v>74</v>
      </c>
      <c r="BR664" t="s">
        <v>98</v>
      </c>
      <c r="BS664" t="s">
        <v>9045</v>
      </c>
      <c r="BT664" t="str">
        <f>HYPERLINK("https%3A%2F%2Fwww.webofscience.com%2Fwos%2Fwoscc%2Ffull-record%2FWOS:000074741000005","View Full Record in Web of Science")</f>
        <v>View Full Record in Web of Science</v>
      </c>
    </row>
    <row r="665" spans="1:72" x14ac:dyDescent="0.15">
      <c r="A665" t="s">
        <v>72</v>
      </c>
      <c r="B665" t="s">
        <v>9046</v>
      </c>
      <c r="C665" t="s">
        <v>74</v>
      </c>
      <c r="D665" t="s">
        <v>74</v>
      </c>
      <c r="E665" t="s">
        <v>74</v>
      </c>
      <c r="F665" t="s">
        <v>9046</v>
      </c>
      <c r="G665" t="s">
        <v>74</v>
      </c>
      <c r="H665" t="s">
        <v>74</v>
      </c>
      <c r="I665" t="s">
        <v>9047</v>
      </c>
      <c r="J665" t="s">
        <v>3825</v>
      </c>
      <c r="K665" t="s">
        <v>74</v>
      </c>
      <c r="L665" t="s">
        <v>74</v>
      </c>
      <c r="M665" t="s">
        <v>77</v>
      </c>
      <c r="N665" t="s">
        <v>123</v>
      </c>
      <c r="O665" t="s">
        <v>9048</v>
      </c>
      <c r="P665" t="s">
        <v>9049</v>
      </c>
      <c r="Q665" t="s">
        <v>9050</v>
      </c>
      <c r="R665" t="s">
        <v>74</v>
      </c>
      <c r="S665" t="s">
        <v>74</v>
      </c>
      <c r="T665" t="s">
        <v>74</v>
      </c>
      <c r="U665" t="s">
        <v>9051</v>
      </c>
      <c r="V665" t="s">
        <v>9052</v>
      </c>
      <c r="W665" t="s">
        <v>9053</v>
      </c>
      <c r="X665" t="s">
        <v>1341</v>
      </c>
      <c r="Y665" t="s">
        <v>9054</v>
      </c>
      <c r="Z665" t="s">
        <v>9055</v>
      </c>
      <c r="AA665" t="s">
        <v>74</v>
      </c>
      <c r="AB665" t="s">
        <v>74</v>
      </c>
      <c r="AC665" t="s">
        <v>74</v>
      </c>
      <c r="AD665" t="s">
        <v>74</v>
      </c>
      <c r="AE665" t="s">
        <v>74</v>
      </c>
      <c r="AF665" t="s">
        <v>74</v>
      </c>
      <c r="AG665">
        <v>22</v>
      </c>
      <c r="AH665">
        <v>30</v>
      </c>
      <c r="AI665">
        <v>30</v>
      </c>
      <c r="AJ665">
        <v>0</v>
      </c>
      <c r="AK665">
        <v>7</v>
      </c>
      <c r="AL665" t="s">
        <v>966</v>
      </c>
      <c r="AM665" t="s">
        <v>967</v>
      </c>
      <c r="AN665" t="s">
        <v>968</v>
      </c>
      <c r="AO665" t="s">
        <v>3833</v>
      </c>
      <c r="AP665" t="s">
        <v>3834</v>
      </c>
      <c r="AQ665" t="s">
        <v>74</v>
      </c>
      <c r="AR665" t="s">
        <v>3835</v>
      </c>
      <c r="AS665" t="s">
        <v>3836</v>
      </c>
      <c r="AT665" t="s">
        <v>9010</v>
      </c>
      <c r="AU665">
        <v>1998</v>
      </c>
      <c r="AV665">
        <v>103</v>
      </c>
      <c r="AW665" t="s">
        <v>9042</v>
      </c>
      <c r="AX665" t="s">
        <v>74</v>
      </c>
      <c r="AY665" t="s">
        <v>74</v>
      </c>
      <c r="AZ665" t="s">
        <v>74</v>
      </c>
      <c r="BA665" t="s">
        <v>74</v>
      </c>
      <c r="BB665">
        <v>15845</v>
      </c>
      <c r="BC665">
        <v>15851</v>
      </c>
      <c r="BD665" t="s">
        <v>74</v>
      </c>
      <c r="BE665" t="s">
        <v>9056</v>
      </c>
      <c r="BF665" t="str">
        <f>HYPERLINK("http://dx.doi.org/10.1029/98JC00142","http://dx.doi.org/10.1029/98JC00142")</f>
        <v>http://dx.doi.org/10.1029/98JC00142</v>
      </c>
      <c r="BG665" t="s">
        <v>74</v>
      </c>
      <c r="BH665" t="s">
        <v>74</v>
      </c>
      <c r="BI665">
        <v>7</v>
      </c>
      <c r="BJ665" t="s">
        <v>451</v>
      </c>
      <c r="BK665" t="s">
        <v>144</v>
      </c>
      <c r="BL665" t="s">
        <v>451</v>
      </c>
      <c r="BM665" t="s">
        <v>9044</v>
      </c>
      <c r="BN665" t="s">
        <v>74</v>
      </c>
      <c r="BO665" t="s">
        <v>1089</v>
      </c>
      <c r="BP665" t="s">
        <v>74</v>
      </c>
      <c r="BQ665" t="s">
        <v>74</v>
      </c>
      <c r="BR665" t="s">
        <v>98</v>
      </c>
      <c r="BS665" t="s">
        <v>9057</v>
      </c>
      <c r="BT665" t="str">
        <f>HYPERLINK("https%3A%2F%2Fwww.webofscience.com%2Fwos%2Fwoscc%2Ffull-record%2FWOS:000074741000022","View Full Record in Web of Science")</f>
        <v>View Full Record in Web of Science</v>
      </c>
    </row>
    <row r="666" spans="1:72" x14ac:dyDescent="0.15">
      <c r="A666" t="s">
        <v>72</v>
      </c>
      <c r="B666" t="s">
        <v>9058</v>
      </c>
      <c r="C666" t="s">
        <v>74</v>
      </c>
      <c r="D666" t="s">
        <v>74</v>
      </c>
      <c r="E666" t="s">
        <v>74</v>
      </c>
      <c r="F666" t="s">
        <v>9058</v>
      </c>
      <c r="G666" t="s">
        <v>74</v>
      </c>
      <c r="H666" t="s">
        <v>74</v>
      </c>
      <c r="I666" t="s">
        <v>9059</v>
      </c>
      <c r="J666" t="s">
        <v>6106</v>
      </c>
      <c r="K666" t="s">
        <v>74</v>
      </c>
      <c r="L666" t="s">
        <v>74</v>
      </c>
      <c r="M666" t="s">
        <v>77</v>
      </c>
      <c r="N666" t="s">
        <v>103</v>
      </c>
      <c r="O666" t="s">
        <v>74</v>
      </c>
      <c r="P666" t="s">
        <v>74</v>
      </c>
      <c r="Q666" t="s">
        <v>74</v>
      </c>
      <c r="R666" t="s">
        <v>74</v>
      </c>
      <c r="S666" t="s">
        <v>74</v>
      </c>
      <c r="T666" t="s">
        <v>74</v>
      </c>
      <c r="U666" t="s">
        <v>9060</v>
      </c>
      <c r="V666" t="s">
        <v>9061</v>
      </c>
      <c r="W666" t="s">
        <v>9062</v>
      </c>
      <c r="X666" t="s">
        <v>9063</v>
      </c>
      <c r="Y666" t="s">
        <v>9064</v>
      </c>
      <c r="Z666" t="s">
        <v>9065</v>
      </c>
      <c r="AA666" t="s">
        <v>9066</v>
      </c>
      <c r="AB666" t="s">
        <v>74</v>
      </c>
      <c r="AC666" t="s">
        <v>74</v>
      </c>
      <c r="AD666" t="s">
        <v>74</v>
      </c>
      <c r="AE666" t="s">
        <v>74</v>
      </c>
      <c r="AF666" t="s">
        <v>74</v>
      </c>
      <c r="AG666">
        <v>72</v>
      </c>
      <c r="AH666">
        <v>45</v>
      </c>
      <c r="AI666">
        <v>48</v>
      </c>
      <c r="AJ666">
        <v>0</v>
      </c>
      <c r="AK666">
        <v>9</v>
      </c>
      <c r="AL666" t="s">
        <v>966</v>
      </c>
      <c r="AM666" t="s">
        <v>967</v>
      </c>
      <c r="AN666" t="s">
        <v>968</v>
      </c>
      <c r="AO666" t="s">
        <v>6114</v>
      </c>
      <c r="AP666" t="s">
        <v>6115</v>
      </c>
      <c r="AQ666" t="s">
        <v>74</v>
      </c>
      <c r="AR666" t="s">
        <v>6116</v>
      </c>
      <c r="AS666" t="s">
        <v>6117</v>
      </c>
      <c r="AT666" t="s">
        <v>9067</v>
      </c>
      <c r="AU666">
        <v>1998</v>
      </c>
      <c r="AV666">
        <v>103</v>
      </c>
      <c r="AW666" t="s">
        <v>9068</v>
      </c>
      <c r="AX666" t="s">
        <v>74</v>
      </c>
      <c r="AY666" t="s">
        <v>74</v>
      </c>
      <c r="AZ666" t="s">
        <v>74</v>
      </c>
      <c r="BA666" t="s">
        <v>74</v>
      </c>
      <c r="BB666">
        <v>15423</v>
      </c>
      <c r="BC666">
        <v>15441</v>
      </c>
      <c r="BD666" t="s">
        <v>74</v>
      </c>
      <c r="BE666" t="s">
        <v>9069</v>
      </c>
      <c r="BF666" t="str">
        <f>HYPERLINK("http://dx.doi.org/10.1029/97JB03574","http://dx.doi.org/10.1029/97JB03574")</f>
        <v>http://dx.doi.org/10.1029/97JB03574</v>
      </c>
      <c r="BG666" t="s">
        <v>74</v>
      </c>
      <c r="BH666" t="s">
        <v>74</v>
      </c>
      <c r="BI666">
        <v>19</v>
      </c>
      <c r="BJ666" t="s">
        <v>303</v>
      </c>
      <c r="BK666" t="s">
        <v>95</v>
      </c>
      <c r="BL666" t="s">
        <v>303</v>
      </c>
      <c r="BM666" t="s">
        <v>9070</v>
      </c>
      <c r="BN666" t="s">
        <v>74</v>
      </c>
      <c r="BO666" t="s">
        <v>74</v>
      </c>
      <c r="BP666" t="s">
        <v>74</v>
      </c>
      <c r="BQ666" t="s">
        <v>74</v>
      </c>
      <c r="BR666" t="s">
        <v>98</v>
      </c>
      <c r="BS666" t="s">
        <v>9071</v>
      </c>
      <c r="BT666" t="str">
        <f>HYPERLINK("https%3A%2F%2Fwww.webofscience.com%2Fwos%2Fwoscc%2Ffull-record%2FWOS:000074721000024","View Full Record in Web of Science")</f>
        <v>View Full Record in Web of Science</v>
      </c>
    </row>
    <row r="667" spans="1:72" x14ac:dyDescent="0.15">
      <c r="A667" t="s">
        <v>72</v>
      </c>
      <c r="B667" t="s">
        <v>7030</v>
      </c>
      <c r="C667" t="s">
        <v>74</v>
      </c>
      <c r="D667" t="s">
        <v>74</v>
      </c>
      <c r="E667" t="s">
        <v>74</v>
      </c>
      <c r="F667" t="s">
        <v>7030</v>
      </c>
      <c r="G667" t="s">
        <v>74</v>
      </c>
      <c r="H667" t="s">
        <v>74</v>
      </c>
      <c r="I667" t="s">
        <v>9072</v>
      </c>
      <c r="J667" t="s">
        <v>6106</v>
      </c>
      <c r="K667" t="s">
        <v>74</v>
      </c>
      <c r="L667" t="s">
        <v>74</v>
      </c>
      <c r="M667" t="s">
        <v>77</v>
      </c>
      <c r="N667" t="s">
        <v>103</v>
      </c>
      <c r="O667" t="s">
        <v>74</v>
      </c>
      <c r="P667" t="s">
        <v>74</v>
      </c>
      <c r="Q667" t="s">
        <v>74</v>
      </c>
      <c r="R667" t="s">
        <v>74</v>
      </c>
      <c r="S667" t="s">
        <v>74</v>
      </c>
      <c r="T667" t="s">
        <v>74</v>
      </c>
      <c r="U667" t="s">
        <v>9073</v>
      </c>
      <c r="V667" t="s">
        <v>9074</v>
      </c>
      <c r="W667" t="s">
        <v>9075</v>
      </c>
      <c r="X667" t="s">
        <v>9076</v>
      </c>
      <c r="Y667" t="s">
        <v>9077</v>
      </c>
      <c r="Z667" t="s">
        <v>9078</v>
      </c>
      <c r="AA667" t="s">
        <v>9079</v>
      </c>
      <c r="AB667" t="s">
        <v>9080</v>
      </c>
      <c r="AC667" t="s">
        <v>74</v>
      </c>
      <c r="AD667" t="s">
        <v>74</v>
      </c>
      <c r="AE667" t="s">
        <v>74</v>
      </c>
      <c r="AF667" t="s">
        <v>74</v>
      </c>
      <c r="AG667">
        <v>60</v>
      </c>
      <c r="AH667">
        <v>18</v>
      </c>
      <c r="AI667">
        <v>20</v>
      </c>
      <c r="AJ667">
        <v>0</v>
      </c>
      <c r="AK667">
        <v>8</v>
      </c>
      <c r="AL667" t="s">
        <v>966</v>
      </c>
      <c r="AM667" t="s">
        <v>967</v>
      </c>
      <c r="AN667" t="s">
        <v>968</v>
      </c>
      <c r="AO667" t="s">
        <v>6114</v>
      </c>
      <c r="AP667" t="s">
        <v>6115</v>
      </c>
      <c r="AQ667" t="s">
        <v>74</v>
      </c>
      <c r="AR667" t="s">
        <v>6116</v>
      </c>
      <c r="AS667" t="s">
        <v>6117</v>
      </c>
      <c r="AT667" t="s">
        <v>9067</v>
      </c>
      <c r="AU667">
        <v>1998</v>
      </c>
      <c r="AV667">
        <v>103</v>
      </c>
      <c r="AW667" t="s">
        <v>9068</v>
      </c>
      <c r="AX667" t="s">
        <v>74</v>
      </c>
      <c r="AY667" t="s">
        <v>74</v>
      </c>
      <c r="AZ667" t="s">
        <v>74</v>
      </c>
      <c r="BA667" t="s">
        <v>74</v>
      </c>
      <c r="BB667">
        <v>15457</v>
      </c>
      <c r="BC667">
        <v>15471</v>
      </c>
      <c r="BD667" t="s">
        <v>74</v>
      </c>
      <c r="BE667" t="s">
        <v>9081</v>
      </c>
      <c r="BF667" t="str">
        <f>HYPERLINK("http://dx.doi.org/10.1029/98JB00601","http://dx.doi.org/10.1029/98JB00601")</f>
        <v>http://dx.doi.org/10.1029/98JB00601</v>
      </c>
      <c r="BG667" t="s">
        <v>74</v>
      </c>
      <c r="BH667" t="s">
        <v>74</v>
      </c>
      <c r="BI667">
        <v>15</v>
      </c>
      <c r="BJ667" t="s">
        <v>303</v>
      </c>
      <c r="BK667" t="s">
        <v>95</v>
      </c>
      <c r="BL667" t="s">
        <v>303</v>
      </c>
      <c r="BM667" t="s">
        <v>9070</v>
      </c>
      <c r="BN667" t="s">
        <v>74</v>
      </c>
      <c r="BO667" t="s">
        <v>74</v>
      </c>
      <c r="BP667" t="s">
        <v>74</v>
      </c>
      <c r="BQ667" t="s">
        <v>74</v>
      </c>
      <c r="BR667" t="s">
        <v>98</v>
      </c>
      <c r="BS667" t="s">
        <v>9082</v>
      </c>
      <c r="BT667" t="str">
        <f>HYPERLINK("https%3A%2F%2Fwww.webofscience.com%2Fwos%2Fwoscc%2Ffull-record%2FWOS:000074721000026","View Full Record in Web of Science")</f>
        <v>View Full Record in Web of Science</v>
      </c>
    </row>
    <row r="668" spans="1:72" x14ac:dyDescent="0.15">
      <c r="A668" t="s">
        <v>72</v>
      </c>
      <c r="B668" t="s">
        <v>9083</v>
      </c>
      <c r="C668" t="s">
        <v>74</v>
      </c>
      <c r="D668" t="s">
        <v>74</v>
      </c>
      <c r="E668" t="s">
        <v>74</v>
      </c>
      <c r="F668" t="s">
        <v>9083</v>
      </c>
      <c r="G668" t="s">
        <v>74</v>
      </c>
      <c r="H668" t="s">
        <v>74</v>
      </c>
      <c r="I668" t="s">
        <v>9084</v>
      </c>
      <c r="J668" t="s">
        <v>6726</v>
      </c>
      <c r="K668" t="s">
        <v>74</v>
      </c>
      <c r="L668" t="s">
        <v>74</v>
      </c>
      <c r="M668" t="s">
        <v>77</v>
      </c>
      <c r="N668" t="s">
        <v>103</v>
      </c>
      <c r="O668" t="s">
        <v>74</v>
      </c>
      <c r="P668" t="s">
        <v>74</v>
      </c>
      <c r="Q668" t="s">
        <v>74</v>
      </c>
      <c r="R668" t="s">
        <v>74</v>
      </c>
      <c r="S668" t="s">
        <v>74</v>
      </c>
      <c r="T668" t="s">
        <v>74</v>
      </c>
      <c r="U668" t="s">
        <v>9085</v>
      </c>
      <c r="V668" t="s">
        <v>9086</v>
      </c>
      <c r="W668" t="s">
        <v>9087</v>
      </c>
      <c r="X668" t="s">
        <v>9088</v>
      </c>
      <c r="Y668" t="s">
        <v>9089</v>
      </c>
      <c r="Z668" t="s">
        <v>9090</v>
      </c>
      <c r="AA668" t="s">
        <v>9091</v>
      </c>
      <c r="AB668" t="s">
        <v>9092</v>
      </c>
      <c r="AC668" t="s">
        <v>74</v>
      </c>
      <c r="AD668" t="s">
        <v>74</v>
      </c>
      <c r="AE668" t="s">
        <v>74</v>
      </c>
      <c r="AF668" t="s">
        <v>74</v>
      </c>
      <c r="AG668">
        <v>21</v>
      </c>
      <c r="AH668">
        <v>472</v>
      </c>
      <c r="AI668">
        <v>519</v>
      </c>
      <c r="AJ668">
        <v>1</v>
      </c>
      <c r="AK668">
        <v>55</v>
      </c>
      <c r="AL668" t="s">
        <v>6731</v>
      </c>
      <c r="AM668" t="s">
        <v>1121</v>
      </c>
      <c r="AN668" t="s">
        <v>6732</v>
      </c>
      <c r="AO668" t="s">
        <v>6733</v>
      </c>
      <c r="AP668" t="s">
        <v>74</v>
      </c>
      <c r="AQ668" t="s">
        <v>74</v>
      </c>
      <c r="AR668" t="s">
        <v>6726</v>
      </c>
      <c r="AS668" t="s">
        <v>6734</v>
      </c>
      <c r="AT668" t="s">
        <v>9093</v>
      </c>
      <c r="AU668">
        <v>1998</v>
      </c>
      <c r="AV668">
        <v>394</v>
      </c>
      <c r="AW668">
        <v>6689</v>
      </c>
      <c r="AX668" t="s">
        <v>74</v>
      </c>
      <c r="AY668" t="s">
        <v>74</v>
      </c>
      <c r="AZ668" t="s">
        <v>74</v>
      </c>
      <c r="BA668" t="s">
        <v>74</v>
      </c>
      <c r="BB668">
        <v>162</v>
      </c>
      <c r="BC668">
        <v>165</v>
      </c>
      <c r="BD668" t="s">
        <v>74</v>
      </c>
      <c r="BE668" t="s">
        <v>9094</v>
      </c>
      <c r="BF668" t="str">
        <f>HYPERLINK("http://dx.doi.org/10.1038/28134","http://dx.doi.org/10.1038/28134")</f>
        <v>http://dx.doi.org/10.1038/28134</v>
      </c>
      <c r="BG668" t="s">
        <v>74</v>
      </c>
      <c r="BH668" t="s">
        <v>74</v>
      </c>
      <c r="BI668">
        <v>4</v>
      </c>
      <c r="BJ668" t="s">
        <v>3377</v>
      </c>
      <c r="BK668" t="s">
        <v>95</v>
      </c>
      <c r="BL668" t="s">
        <v>3378</v>
      </c>
      <c r="BM668" t="s">
        <v>9095</v>
      </c>
      <c r="BN668" t="s">
        <v>74</v>
      </c>
      <c r="BO668" t="s">
        <v>74</v>
      </c>
      <c r="BP668" t="s">
        <v>74</v>
      </c>
      <c r="BQ668" t="s">
        <v>74</v>
      </c>
      <c r="BR668" t="s">
        <v>98</v>
      </c>
      <c r="BS668" t="s">
        <v>9096</v>
      </c>
      <c r="BT668" t="str">
        <f>HYPERLINK("https%3A%2F%2Fwww.webofscience.com%2Fwos%2Fwoscc%2Ffull-record%2FWOS:000074705900048","View Full Record in Web of Science")</f>
        <v>View Full Record in Web of Science</v>
      </c>
    </row>
    <row r="669" spans="1:72" x14ac:dyDescent="0.15">
      <c r="A669" t="s">
        <v>72</v>
      </c>
      <c r="B669" t="s">
        <v>9097</v>
      </c>
      <c r="C669" t="s">
        <v>74</v>
      </c>
      <c r="D669" t="s">
        <v>74</v>
      </c>
      <c r="E669" t="s">
        <v>74</v>
      </c>
      <c r="F669" t="s">
        <v>9097</v>
      </c>
      <c r="G669" t="s">
        <v>74</v>
      </c>
      <c r="H669" t="s">
        <v>74</v>
      </c>
      <c r="I669" t="s">
        <v>9098</v>
      </c>
      <c r="J669" t="s">
        <v>3749</v>
      </c>
      <c r="K669" t="s">
        <v>74</v>
      </c>
      <c r="L669" t="s">
        <v>74</v>
      </c>
      <c r="M669" t="s">
        <v>77</v>
      </c>
      <c r="N669" t="s">
        <v>2185</v>
      </c>
      <c r="O669" t="s">
        <v>74</v>
      </c>
      <c r="P669" t="s">
        <v>74</v>
      </c>
      <c r="Q669" t="s">
        <v>74</v>
      </c>
      <c r="R669" t="s">
        <v>74</v>
      </c>
      <c r="S669" t="s">
        <v>74</v>
      </c>
      <c r="T669" t="s">
        <v>74</v>
      </c>
      <c r="U669" t="s">
        <v>74</v>
      </c>
      <c r="V669" t="s">
        <v>74</v>
      </c>
      <c r="W669" t="s">
        <v>74</v>
      </c>
      <c r="X669" t="s">
        <v>74</v>
      </c>
      <c r="Y669" t="s">
        <v>74</v>
      </c>
      <c r="Z669" t="s">
        <v>74</v>
      </c>
      <c r="AA669" t="s">
        <v>74</v>
      </c>
      <c r="AB669" t="s">
        <v>74</v>
      </c>
      <c r="AC669" t="s">
        <v>74</v>
      </c>
      <c r="AD669" t="s">
        <v>74</v>
      </c>
      <c r="AE669" t="s">
        <v>74</v>
      </c>
      <c r="AF669" t="s">
        <v>74</v>
      </c>
      <c r="AG669">
        <v>1</v>
      </c>
      <c r="AH669">
        <v>3</v>
      </c>
      <c r="AI669">
        <v>3</v>
      </c>
      <c r="AJ669">
        <v>0</v>
      </c>
      <c r="AK669">
        <v>1</v>
      </c>
      <c r="AL669" t="s">
        <v>3756</v>
      </c>
      <c r="AM669" t="s">
        <v>967</v>
      </c>
      <c r="AN669" t="s">
        <v>3757</v>
      </c>
      <c r="AO669" t="s">
        <v>3758</v>
      </c>
      <c r="AP669" t="s">
        <v>74</v>
      </c>
      <c r="AQ669" t="s">
        <v>74</v>
      </c>
      <c r="AR669" t="s">
        <v>3749</v>
      </c>
      <c r="AS669" t="s">
        <v>3759</v>
      </c>
      <c r="AT669" t="s">
        <v>9099</v>
      </c>
      <c r="AU669">
        <v>1998</v>
      </c>
      <c r="AV669">
        <v>281</v>
      </c>
      <c r="AW669">
        <v>5373</v>
      </c>
      <c r="AX669" t="s">
        <v>74</v>
      </c>
      <c r="AY669" t="s">
        <v>74</v>
      </c>
      <c r="AZ669" t="s">
        <v>74</v>
      </c>
      <c r="BA669" t="s">
        <v>74</v>
      </c>
      <c r="BB669">
        <v>17</v>
      </c>
      <c r="BC669" t="s">
        <v>3164</v>
      </c>
      <c r="BD669" t="s">
        <v>74</v>
      </c>
      <c r="BE669" t="s">
        <v>9100</v>
      </c>
      <c r="BF669" t="str">
        <f>HYPERLINK("http://dx.doi.org/10.1126/science.281.5373.17","http://dx.doi.org/10.1126/science.281.5373.17")</f>
        <v>http://dx.doi.org/10.1126/science.281.5373.17</v>
      </c>
      <c r="BG669" t="s">
        <v>74</v>
      </c>
      <c r="BH669" t="s">
        <v>74</v>
      </c>
      <c r="BI669">
        <v>2</v>
      </c>
      <c r="BJ669" t="s">
        <v>3377</v>
      </c>
      <c r="BK669" t="s">
        <v>95</v>
      </c>
      <c r="BL669" t="s">
        <v>3378</v>
      </c>
      <c r="BM669" t="s">
        <v>9101</v>
      </c>
      <c r="BN669" t="s">
        <v>74</v>
      </c>
      <c r="BO669" t="s">
        <v>74</v>
      </c>
      <c r="BP669" t="s">
        <v>74</v>
      </c>
      <c r="BQ669" t="s">
        <v>74</v>
      </c>
      <c r="BR669" t="s">
        <v>98</v>
      </c>
      <c r="BS669" t="s">
        <v>9102</v>
      </c>
      <c r="BT669" t="str">
        <f>HYPERLINK("https%3A%2F%2Fwww.webofscience.com%2Fwos%2Fwoscc%2Ffull-record%2FWOS:000074685800003","View Full Record in Web of Science")</f>
        <v>View Full Record in Web of Science</v>
      </c>
    </row>
    <row r="670" spans="1:72" x14ac:dyDescent="0.15">
      <c r="A670" t="s">
        <v>72</v>
      </c>
      <c r="B670" t="s">
        <v>9103</v>
      </c>
      <c r="C670" t="s">
        <v>74</v>
      </c>
      <c r="D670" t="s">
        <v>74</v>
      </c>
      <c r="E670" t="s">
        <v>74</v>
      </c>
      <c r="F670" t="s">
        <v>9103</v>
      </c>
      <c r="G670" t="s">
        <v>74</v>
      </c>
      <c r="H670" t="s">
        <v>74</v>
      </c>
      <c r="I670" t="s">
        <v>9104</v>
      </c>
      <c r="J670" t="s">
        <v>3749</v>
      </c>
      <c r="K670" t="s">
        <v>74</v>
      </c>
      <c r="L670" t="s">
        <v>74</v>
      </c>
      <c r="M670" t="s">
        <v>77</v>
      </c>
      <c r="N670" t="s">
        <v>103</v>
      </c>
      <c r="O670" t="s">
        <v>74</v>
      </c>
      <c r="P670" t="s">
        <v>74</v>
      </c>
      <c r="Q670" t="s">
        <v>74</v>
      </c>
      <c r="R670" t="s">
        <v>74</v>
      </c>
      <c r="S670" t="s">
        <v>74</v>
      </c>
      <c r="T670" t="s">
        <v>74</v>
      </c>
      <c r="U670" t="s">
        <v>9105</v>
      </c>
      <c r="V670" t="s">
        <v>9106</v>
      </c>
      <c r="W670" t="s">
        <v>9107</v>
      </c>
      <c r="X670" t="s">
        <v>9108</v>
      </c>
      <c r="Y670" t="s">
        <v>9109</v>
      </c>
      <c r="Z670" t="s">
        <v>9110</v>
      </c>
      <c r="AA670" t="s">
        <v>1569</v>
      </c>
      <c r="AB670" t="s">
        <v>1570</v>
      </c>
      <c r="AC670" t="s">
        <v>74</v>
      </c>
      <c r="AD670" t="s">
        <v>74</v>
      </c>
      <c r="AE670" t="s">
        <v>74</v>
      </c>
      <c r="AF670" t="s">
        <v>74</v>
      </c>
      <c r="AG670">
        <v>39</v>
      </c>
      <c r="AH670">
        <v>211</v>
      </c>
      <c r="AI670">
        <v>258</v>
      </c>
      <c r="AJ670">
        <v>1</v>
      </c>
      <c r="AK670">
        <v>42</v>
      </c>
      <c r="AL670" t="s">
        <v>3756</v>
      </c>
      <c r="AM670" t="s">
        <v>967</v>
      </c>
      <c r="AN670" t="s">
        <v>3757</v>
      </c>
      <c r="AO670" t="s">
        <v>3758</v>
      </c>
      <c r="AP670" t="s">
        <v>74</v>
      </c>
      <c r="AQ670" t="s">
        <v>74</v>
      </c>
      <c r="AR670" t="s">
        <v>3749</v>
      </c>
      <c r="AS670" t="s">
        <v>3759</v>
      </c>
      <c r="AT670" t="s">
        <v>9099</v>
      </c>
      <c r="AU670">
        <v>1998</v>
      </c>
      <c r="AV670">
        <v>281</v>
      </c>
      <c r="AW670">
        <v>5373</v>
      </c>
      <c r="AX670" t="s">
        <v>74</v>
      </c>
      <c r="AY670" t="s">
        <v>74</v>
      </c>
      <c r="AZ670" t="s">
        <v>74</v>
      </c>
      <c r="BA670" t="s">
        <v>74</v>
      </c>
      <c r="BB670">
        <v>82</v>
      </c>
      <c r="BC670">
        <v>85</v>
      </c>
      <c r="BD670" t="s">
        <v>74</v>
      </c>
      <c r="BE670" t="s">
        <v>9111</v>
      </c>
      <c r="BF670" t="str">
        <f>HYPERLINK("http://dx.doi.org/10.1126/science.281.5373.82","http://dx.doi.org/10.1126/science.281.5373.82")</f>
        <v>http://dx.doi.org/10.1126/science.281.5373.82</v>
      </c>
      <c r="BG670" t="s">
        <v>74</v>
      </c>
      <c r="BH670" t="s">
        <v>74</v>
      </c>
      <c r="BI670">
        <v>4</v>
      </c>
      <c r="BJ670" t="s">
        <v>3377</v>
      </c>
      <c r="BK670" t="s">
        <v>95</v>
      </c>
      <c r="BL670" t="s">
        <v>3378</v>
      </c>
      <c r="BM670" t="s">
        <v>9101</v>
      </c>
      <c r="BN670">
        <v>9651249</v>
      </c>
      <c r="BO670" t="s">
        <v>74</v>
      </c>
      <c r="BP670" t="s">
        <v>74</v>
      </c>
      <c r="BQ670" t="s">
        <v>74</v>
      </c>
      <c r="BR670" t="s">
        <v>98</v>
      </c>
      <c r="BS670" t="s">
        <v>9112</v>
      </c>
      <c r="BT670" t="str">
        <f>HYPERLINK("https%3A%2F%2Fwww.webofscience.com%2Fwos%2Fwoscc%2Ffull-record%2FWOS:000074685800041","View Full Record in Web of Science")</f>
        <v>View Full Record in Web of Science</v>
      </c>
    </row>
    <row r="671" spans="1:72" x14ac:dyDescent="0.15">
      <c r="A671" t="s">
        <v>72</v>
      </c>
      <c r="B671" t="s">
        <v>9113</v>
      </c>
      <c r="C671" t="s">
        <v>74</v>
      </c>
      <c r="D671" t="s">
        <v>74</v>
      </c>
      <c r="E671" t="s">
        <v>74</v>
      </c>
      <c r="F671" t="s">
        <v>9113</v>
      </c>
      <c r="G671" t="s">
        <v>74</v>
      </c>
      <c r="H671" t="s">
        <v>74</v>
      </c>
      <c r="I671" t="s">
        <v>9114</v>
      </c>
      <c r="J671" t="s">
        <v>6726</v>
      </c>
      <c r="K671" t="s">
        <v>74</v>
      </c>
      <c r="L671" t="s">
        <v>74</v>
      </c>
      <c r="M671" t="s">
        <v>77</v>
      </c>
      <c r="N671" t="s">
        <v>103</v>
      </c>
      <c r="O671" t="s">
        <v>74</v>
      </c>
      <c r="P671" t="s">
        <v>74</v>
      </c>
      <c r="Q671" t="s">
        <v>74</v>
      </c>
      <c r="R671" t="s">
        <v>74</v>
      </c>
      <c r="S671" t="s">
        <v>74</v>
      </c>
      <c r="T671" t="s">
        <v>74</v>
      </c>
      <c r="U671" t="s">
        <v>9115</v>
      </c>
      <c r="V671" t="s">
        <v>9116</v>
      </c>
      <c r="W671" t="s">
        <v>9117</v>
      </c>
      <c r="X671" t="s">
        <v>9118</v>
      </c>
      <c r="Y671" t="s">
        <v>9119</v>
      </c>
      <c r="Z671" t="s">
        <v>9120</v>
      </c>
      <c r="AA671" t="s">
        <v>9121</v>
      </c>
      <c r="AB671" t="s">
        <v>9122</v>
      </c>
      <c r="AC671" t="s">
        <v>74</v>
      </c>
      <c r="AD671" t="s">
        <v>74</v>
      </c>
      <c r="AE671" t="s">
        <v>74</v>
      </c>
      <c r="AF671" t="s">
        <v>74</v>
      </c>
      <c r="AG671">
        <v>27</v>
      </c>
      <c r="AH671">
        <v>155</v>
      </c>
      <c r="AI671">
        <v>164</v>
      </c>
      <c r="AJ671">
        <v>1</v>
      </c>
      <c r="AK671">
        <v>19</v>
      </c>
      <c r="AL671" t="s">
        <v>9123</v>
      </c>
      <c r="AM671" t="s">
        <v>1121</v>
      </c>
      <c r="AN671" t="s">
        <v>9124</v>
      </c>
      <c r="AO671" t="s">
        <v>6733</v>
      </c>
      <c r="AP671" t="s">
        <v>9125</v>
      </c>
      <c r="AQ671" t="s">
        <v>74</v>
      </c>
      <c r="AR671" t="s">
        <v>6726</v>
      </c>
      <c r="AS671" t="s">
        <v>6734</v>
      </c>
      <c r="AT671" t="s">
        <v>9126</v>
      </c>
      <c r="AU671">
        <v>1998</v>
      </c>
      <c r="AV671">
        <v>394</v>
      </c>
      <c r="AW671">
        <v>6688</v>
      </c>
      <c r="AX671" t="s">
        <v>74</v>
      </c>
      <c r="AY671" t="s">
        <v>74</v>
      </c>
      <c r="AZ671" t="s">
        <v>74</v>
      </c>
      <c r="BA671" t="s">
        <v>74</v>
      </c>
      <c r="BB671">
        <v>58</v>
      </c>
      <c r="BC671">
        <v>62</v>
      </c>
      <c r="BD671" t="s">
        <v>74</v>
      </c>
      <c r="BE671" t="s">
        <v>9127</v>
      </c>
      <c r="BF671" t="str">
        <f>HYPERLINK("http://dx.doi.org/10.1038/27883","http://dx.doi.org/10.1038/27883")</f>
        <v>http://dx.doi.org/10.1038/27883</v>
      </c>
      <c r="BG671" t="s">
        <v>74</v>
      </c>
      <c r="BH671" t="s">
        <v>74</v>
      </c>
      <c r="BI671">
        <v>5</v>
      </c>
      <c r="BJ671" t="s">
        <v>3377</v>
      </c>
      <c r="BK671" t="s">
        <v>95</v>
      </c>
      <c r="BL671" t="s">
        <v>3378</v>
      </c>
      <c r="BM671" t="s">
        <v>9128</v>
      </c>
      <c r="BN671" t="s">
        <v>74</v>
      </c>
      <c r="BO671" t="s">
        <v>74</v>
      </c>
      <c r="BP671" t="s">
        <v>74</v>
      </c>
      <c r="BQ671" t="s">
        <v>74</v>
      </c>
      <c r="BR671" t="s">
        <v>98</v>
      </c>
      <c r="BS671" t="s">
        <v>9129</v>
      </c>
      <c r="BT671" t="str">
        <f>HYPERLINK("https%3A%2F%2Fwww.webofscience.com%2Fwos%2Fwoscc%2Ffull-record%2FWOS:000074579600046","View Full Record in Web of Science")</f>
        <v>View Full Record in Web of Science</v>
      </c>
    </row>
    <row r="672" spans="1:72" x14ac:dyDescent="0.15">
      <c r="A672" t="s">
        <v>72</v>
      </c>
      <c r="B672" t="s">
        <v>9130</v>
      </c>
      <c r="C672" t="s">
        <v>74</v>
      </c>
      <c r="D672" t="s">
        <v>74</v>
      </c>
      <c r="E672" t="s">
        <v>74</v>
      </c>
      <c r="F672" t="s">
        <v>9130</v>
      </c>
      <c r="G672" t="s">
        <v>74</v>
      </c>
      <c r="H672" t="s">
        <v>74</v>
      </c>
      <c r="I672" t="s">
        <v>9131</v>
      </c>
      <c r="J672" t="s">
        <v>6726</v>
      </c>
      <c r="K672" t="s">
        <v>74</v>
      </c>
      <c r="L672" t="s">
        <v>74</v>
      </c>
      <c r="M672" t="s">
        <v>77</v>
      </c>
      <c r="N672" t="s">
        <v>103</v>
      </c>
      <c r="O672" t="s">
        <v>74</v>
      </c>
      <c r="P672" t="s">
        <v>74</v>
      </c>
      <c r="Q672" t="s">
        <v>74</v>
      </c>
      <c r="R672" t="s">
        <v>74</v>
      </c>
      <c r="S672" t="s">
        <v>74</v>
      </c>
      <c r="T672" t="s">
        <v>74</v>
      </c>
      <c r="U672" t="s">
        <v>9132</v>
      </c>
      <c r="V672" t="s">
        <v>9133</v>
      </c>
      <c r="W672" t="s">
        <v>9134</v>
      </c>
      <c r="X672" t="s">
        <v>9135</v>
      </c>
      <c r="Y672" t="s">
        <v>9136</v>
      </c>
      <c r="Z672" t="s">
        <v>74</v>
      </c>
      <c r="AA672" t="s">
        <v>9137</v>
      </c>
      <c r="AB672" t="s">
        <v>74</v>
      </c>
      <c r="AC672" t="s">
        <v>74</v>
      </c>
      <c r="AD672" t="s">
        <v>74</v>
      </c>
      <c r="AE672" t="s">
        <v>74</v>
      </c>
      <c r="AF672" t="s">
        <v>74</v>
      </c>
      <c r="AG672">
        <v>30</v>
      </c>
      <c r="AH672">
        <v>175</v>
      </c>
      <c r="AI672">
        <v>197</v>
      </c>
      <c r="AJ672">
        <v>0</v>
      </c>
      <c r="AK672">
        <v>24</v>
      </c>
      <c r="AL672" t="s">
        <v>6731</v>
      </c>
      <c r="AM672" t="s">
        <v>1121</v>
      </c>
      <c r="AN672" t="s">
        <v>6732</v>
      </c>
      <c r="AO672" t="s">
        <v>6733</v>
      </c>
      <c r="AP672" t="s">
        <v>74</v>
      </c>
      <c r="AQ672" t="s">
        <v>74</v>
      </c>
      <c r="AR672" t="s">
        <v>6726</v>
      </c>
      <c r="AS672" t="s">
        <v>6734</v>
      </c>
      <c r="AT672" t="s">
        <v>9126</v>
      </c>
      <c r="AU672">
        <v>1998</v>
      </c>
      <c r="AV672">
        <v>394</v>
      </c>
      <c r="AW672">
        <v>6688</v>
      </c>
      <c r="AX672" t="s">
        <v>74</v>
      </c>
      <c r="AY672" t="s">
        <v>74</v>
      </c>
      <c r="AZ672" t="s">
        <v>74</v>
      </c>
      <c r="BA672" t="s">
        <v>74</v>
      </c>
      <c r="BB672">
        <v>62</v>
      </c>
      <c r="BC672">
        <v>65</v>
      </c>
      <c r="BD672" t="s">
        <v>74</v>
      </c>
      <c r="BE672" t="s">
        <v>9138</v>
      </c>
      <c r="BF672" t="str">
        <f>HYPERLINK("http://dx.doi.org/10.1038/27889","http://dx.doi.org/10.1038/27889")</f>
        <v>http://dx.doi.org/10.1038/27889</v>
      </c>
      <c r="BG672" t="s">
        <v>74</v>
      </c>
      <c r="BH672" t="s">
        <v>74</v>
      </c>
      <c r="BI672">
        <v>4</v>
      </c>
      <c r="BJ672" t="s">
        <v>3377</v>
      </c>
      <c r="BK672" t="s">
        <v>95</v>
      </c>
      <c r="BL672" t="s">
        <v>3378</v>
      </c>
      <c r="BM672" t="s">
        <v>9128</v>
      </c>
      <c r="BN672" t="s">
        <v>74</v>
      </c>
      <c r="BO672" t="s">
        <v>74</v>
      </c>
      <c r="BP672" t="s">
        <v>74</v>
      </c>
      <c r="BQ672" t="s">
        <v>74</v>
      </c>
      <c r="BR672" t="s">
        <v>98</v>
      </c>
      <c r="BS672" t="s">
        <v>9139</v>
      </c>
      <c r="BT672" t="str">
        <f>HYPERLINK("https%3A%2F%2Fwww.webofscience.com%2Fwos%2Fwoscc%2Ffull-record%2FWOS:000074579600047","View Full Record in Web of Science")</f>
        <v>View Full Record in Web of Science</v>
      </c>
    </row>
    <row r="673" spans="1:72" x14ac:dyDescent="0.15">
      <c r="A673" t="s">
        <v>72</v>
      </c>
      <c r="B673" t="s">
        <v>9140</v>
      </c>
      <c r="C673" t="s">
        <v>74</v>
      </c>
      <c r="D673" t="s">
        <v>74</v>
      </c>
      <c r="E673" t="s">
        <v>74</v>
      </c>
      <c r="F673" t="s">
        <v>9140</v>
      </c>
      <c r="G673" t="s">
        <v>74</v>
      </c>
      <c r="H673" t="s">
        <v>74</v>
      </c>
      <c r="I673" t="s">
        <v>9141</v>
      </c>
      <c r="J673" t="s">
        <v>9142</v>
      </c>
      <c r="K673" t="s">
        <v>74</v>
      </c>
      <c r="L673" t="s">
        <v>74</v>
      </c>
      <c r="M673" t="s">
        <v>77</v>
      </c>
      <c r="N673" t="s">
        <v>103</v>
      </c>
      <c r="O673" t="s">
        <v>74</v>
      </c>
      <c r="P673" t="s">
        <v>74</v>
      </c>
      <c r="Q673" t="s">
        <v>74</v>
      </c>
      <c r="R673" t="s">
        <v>74</v>
      </c>
      <c r="S673" t="s">
        <v>74</v>
      </c>
      <c r="T673" t="s">
        <v>74</v>
      </c>
      <c r="U673" t="s">
        <v>9143</v>
      </c>
      <c r="V673" t="s">
        <v>9144</v>
      </c>
      <c r="W673" t="s">
        <v>9145</v>
      </c>
      <c r="X673" t="s">
        <v>9146</v>
      </c>
      <c r="Y673" t="s">
        <v>9147</v>
      </c>
      <c r="Z673" t="s">
        <v>74</v>
      </c>
      <c r="AA673" t="s">
        <v>9148</v>
      </c>
      <c r="AB673" t="s">
        <v>74</v>
      </c>
      <c r="AC673" t="s">
        <v>74</v>
      </c>
      <c r="AD673" t="s">
        <v>74</v>
      </c>
      <c r="AE673" t="s">
        <v>74</v>
      </c>
      <c r="AF673" t="s">
        <v>74</v>
      </c>
      <c r="AG673">
        <v>94</v>
      </c>
      <c r="AH673">
        <v>213</v>
      </c>
      <c r="AI673">
        <v>236</v>
      </c>
      <c r="AJ673">
        <v>0</v>
      </c>
      <c r="AK673">
        <v>9</v>
      </c>
      <c r="AL673" t="s">
        <v>9149</v>
      </c>
      <c r="AM673" t="s">
        <v>997</v>
      </c>
      <c r="AN673" t="s">
        <v>9150</v>
      </c>
      <c r="AO673" t="s">
        <v>9151</v>
      </c>
      <c r="AP673" t="s">
        <v>74</v>
      </c>
      <c r="AQ673" t="s">
        <v>74</v>
      </c>
      <c r="AR673" t="s">
        <v>9152</v>
      </c>
      <c r="AS673" t="s">
        <v>9153</v>
      </c>
      <c r="AT673" t="s">
        <v>9154</v>
      </c>
      <c r="AU673">
        <v>1998</v>
      </c>
      <c r="AV673">
        <v>82</v>
      </c>
      <c r="AW673">
        <v>7</v>
      </c>
      <c r="AX673" t="s">
        <v>74</v>
      </c>
      <c r="AY673" t="s">
        <v>74</v>
      </c>
      <c r="AZ673" t="s">
        <v>74</v>
      </c>
      <c r="BA673" t="s">
        <v>74</v>
      </c>
      <c r="BB673">
        <v>1385</v>
      </c>
      <c r="BC673">
        <v>1400</v>
      </c>
      <c r="BD673" t="s">
        <v>74</v>
      </c>
      <c r="BE673" t="s">
        <v>74</v>
      </c>
      <c r="BF673" t="s">
        <v>74</v>
      </c>
      <c r="BG673" t="s">
        <v>74</v>
      </c>
      <c r="BH673" t="s">
        <v>74</v>
      </c>
      <c r="BI673">
        <v>16</v>
      </c>
      <c r="BJ673" t="s">
        <v>192</v>
      </c>
      <c r="BK673" t="s">
        <v>95</v>
      </c>
      <c r="BL673" t="s">
        <v>193</v>
      </c>
      <c r="BM673" t="s">
        <v>9155</v>
      </c>
      <c r="BN673" t="s">
        <v>74</v>
      </c>
      <c r="BO673" t="s">
        <v>74</v>
      </c>
      <c r="BP673" t="s">
        <v>74</v>
      </c>
      <c r="BQ673" t="s">
        <v>74</v>
      </c>
      <c r="BR673" t="s">
        <v>98</v>
      </c>
      <c r="BS673" t="s">
        <v>9156</v>
      </c>
      <c r="BT673" t="str">
        <f>HYPERLINK("https%3A%2F%2Fwww.webofscience.com%2Fwos%2Fwoscc%2Ffull-record%2FWOS:000074726500006","View Full Record in Web of Science")</f>
        <v>View Full Record in Web of Science</v>
      </c>
    </row>
    <row r="674" spans="1:72" x14ac:dyDescent="0.15">
      <c r="A674" t="s">
        <v>72</v>
      </c>
      <c r="B674" t="s">
        <v>9157</v>
      </c>
      <c r="C674" t="s">
        <v>74</v>
      </c>
      <c r="D674" t="s">
        <v>74</v>
      </c>
      <c r="E674" t="s">
        <v>74</v>
      </c>
      <c r="F674" t="s">
        <v>9157</v>
      </c>
      <c r="G674" t="s">
        <v>74</v>
      </c>
      <c r="H674" t="s">
        <v>74</v>
      </c>
      <c r="I674" t="s">
        <v>9158</v>
      </c>
      <c r="J674" t="s">
        <v>9159</v>
      </c>
      <c r="K674" t="s">
        <v>74</v>
      </c>
      <c r="L674" t="s">
        <v>74</v>
      </c>
      <c r="M674" t="s">
        <v>77</v>
      </c>
      <c r="N674" t="s">
        <v>78</v>
      </c>
      <c r="O674" t="s">
        <v>74</v>
      </c>
      <c r="P674" t="s">
        <v>74</v>
      </c>
      <c r="Q674" t="s">
        <v>74</v>
      </c>
      <c r="R674" t="s">
        <v>74</v>
      </c>
      <c r="S674" t="s">
        <v>74</v>
      </c>
      <c r="T674" t="s">
        <v>74</v>
      </c>
      <c r="U674" t="s">
        <v>9160</v>
      </c>
      <c r="V674" t="s">
        <v>74</v>
      </c>
      <c r="W674" t="s">
        <v>9161</v>
      </c>
      <c r="X674" t="s">
        <v>9162</v>
      </c>
      <c r="Y674" t="s">
        <v>9163</v>
      </c>
      <c r="Z674" t="s">
        <v>9164</v>
      </c>
      <c r="AA674" t="s">
        <v>74</v>
      </c>
      <c r="AB674" t="s">
        <v>74</v>
      </c>
      <c r="AC674" t="s">
        <v>74</v>
      </c>
      <c r="AD674" t="s">
        <v>74</v>
      </c>
      <c r="AE674" t="s">
        <v>74</v>
      </c>
      <c r="AF674" t="s">
        <v>74</v>
      </c>
      <c r="AG674">
        <v>47</v>
      </c>
      <c r="AH674">
        <v>27</v>
      </c>
      <c r="AI674">
        <v>30</v>
      </c>
      <c r="AJ674">
        <v>0</v>
      </c>
      <c r="AK674">
        <v>9</v>
      </c>
      <c r="AL674" t="s">
        <v>3813</v>
      </c>
      <c r="AM674" t="s">
        <v>967</v>
      </c>
      <c r="AN674" t="s">
        <v>3814</v>
      </c>
      <c r="AO674" t="s">
        <v>9165</v>
      </c>
      <c r="AP674" t="s">
        <v>74</v>
      </c>
      <c r="AQ674" t="s">
        <v>74</v>
      </c>
      <c r="AR674" t="s">
        <v>9166</v>
      </c>
      <c r="AS674" t="s">
        <v>9167</v>
      </c>
      <c r="AT674" t="s">
        <v>9154</v>
      </c>
      <c r="AU674">
        <v>1998</v>
      </c>
      <c r="AV674">
        <v>31</v>
      </c>
      <c r="AW674">
        <v>7</v>
      </c>
      <c r="AX674" t="s">
        <v>74</v>
      </c>
      <c r="AY674" t="s">
        <v>74</v>
      </c>
      <c r="AZ674" t="s">
        <v>74</v>
      </c>
      <c r="BA674" t="s">
        <v>74</v>
      </c>
      <c r="BB674">
        <v>415</v>
      </c>
      <c r="BC674">
        <v>421</v>
      </c>
      <c r="BD674" t="s">
        <v>74</v>
      </c>
      <c r="BE674" t="s">
        <v>9168</v>
      </c>
      <c r="BF674" t="str">
        <f>HYPERLINK("http://dx.doi.org/10.1021/ar950205q","http://dx.doi.org/10.1021/ar950205q")</f>
        <v>http://dx.doi.org/10.1021/ar950205q</v>
      </c>
      <c r="BG674" t="s">
        <v>74</v>
      </c>
      <c r="BH674" t="s">
        <v>74</v>
      </c>
      <c r="BI674">
        <v>7</v>
      </c>
      <c r="BJ674" t="s">
        <v>1283</v>
      </c>
      <c r="BK674" t="s">
        <v>95</v>
      </c>
      <c r="BL674" t="s">
        <v>1284</v>
      </c>
      <c r="BM674" t="s">
        <v>9169</v>
      </c>
      <c r="BN674" t="s">
        <v>74</v>
      </c>
      <c r="BO674" t="s">
        <v>74</v>
      </c>
      <c r="BP674" t="s">
        <v>74</v>
      </c>
      <c r="BQ674" t="s">
        <v>74</v>
      </c>
      <c r="BR674" t="s">
        <v>98</v>
      </c>
      <c r="BS674" t="s">
        <v>9170</v>
      </c>
      <c r="BT674" t="str">
        <f>HYPERLINK("https%3A%2F%2Fwww.webofscience.com%2Fwos%2Fwoscc%2Ffull-record%2FWOS:000075273300005","View Full Record in Web of Science")</f>
        <v>View Full Record in Web of Science</v>
      </c>
    </row>
    <row r="675" spans="1:72" x14ac:dyDescent="0.15">
      <c r="A675" t="s">
        <v>72</v>
      </c>
      <c r="B675" t="s">
        <v>9171</v>
      </c>
      <c r="C675" t="s">
        <v>74</v>
      </c>
      <c r="D675" t="s">
        <v>74</v>
      </c>
      <c r="E675" t="s">
        <v>74</v>
      </c>
      <c r="F675" t="s">
        <v>9171</v>
      </c>
      <c r="G675" t="s">
        <v>74</v>
      </c>
      <c r="H675" t="s">
        <v>74</v>
      </c>
      <c r="I675" t="s">
        <v>9172</v>
      </c>
      <c r="J675" t="s">
        <v>3936</v>
      </c>
      <c r="K675" t="s">
        <v>74</v>
      </c>
      <c r="L675" t="s">
        <v>74</v>
      </c>
      <c r="M675" t="s">
        <v>77</v>
      </c>
      <c r="N675" t="s">
        <v>103</v>
      </c>
      <c r="O675" t="s">
        <v>74</v>
      </c>
      <c r="P675" t="s">
        <v>74</v>
      </c>
      <c r="Q675" t="s">
        <v>74</v>
      </c>
      <c r="R675" t="s">
        <v>74</v>
      </c>
      <c r="S675" t="s">
        <v>74</v>
      </c>
      <c r="T675" t="s">
        <v>9173</v>
      </c>
      <c r="U675" t="s">
        <v>9174</v>
      </c>
      <c r="V675" t="s">
        <v>9175</v>
      </c>
      <c r="W675" t="s">
        <v>9176</v>
      </c>
      <c r="X675" t="s">
        <v>9177</v>
      </c>
      <c r="Y675" t="s">
        <v>9178</v>
      </c>
      <c r="Z675" t="s">
        <v>9179</v>
      </c>
      <c r="AA675" t="s">
        <v>9180</v>
      </c>
      <c r="AB675" t="s">
        <v>9181</v>
      </c>
      <c r="AC675" t="s">
        <v>74</v>
      </c>
      <c r="AD675" t="s">
        <v>74</v>
      </c>
      <c r="AE675" t="s">
        <v>74</v>
      </c>
      <c r="AF675" t="s">
        <v>74</v>
      </c>
      <c r="AG675">
        <v>32</v>
      </c>
      <c r="AH675">
        <v>8</v>
      </c>
      <c r="AI675">
        <v>9</v>
      </c>
      <c r="AJ675">
        <v>0</v>
      </c>
      <c r="AK675">
        <v>0</v>
      </c>
      <c r="AL675" t="s">
        <v>805</v>
      </c>
      <c r="AM675" t="s">
        <v>278</v>
      </c>
      <c r="AN675" t="s">
        <v>806</v>
      </c>
      <c r="AO675" t="s">
        <v>3943</v>
      </c>
      <c r="AP675" t="s">
        <v>74</v>
      </c>
      <c r="AQ675" t="s">
        <v>74</v>
      </c>
      <c r="AR675" t="s">
        <v>3944</v>
      </c>
      <c r="AS675" t="s">
        <v>3945</v>
      </c>
      <c r="AT675" t="s">
        <v>9154</v>
      </c>
      <c r="AU675">
        <v>1998</v>
      </c>
      <c r="AV675">
        <v>16</v>
      </c>
      <c r="AW675">
        <v>7</v>
      </c>
      <c r="AX675" t="s">
        <v>74</v>
      </c>
      <c r="AY675" t="s">
        <v>74</v>
      </c>
      <c r="AZ675" t="s">
        <v>74</v>
      </c>
      <c r="BA675" t="s">
        <v>74</v>
      </c>
      <c r="BB675">
        <v>764</v>
      </c>
      <c r="BC675">
        <v>774</v>
      </c>
      <c r="BD675" t="s">
        <v>74</v>
      </c>
      <c r="BE675" t="s">
        <v>9182</v>
      </c>
      <c r="BF675" t="str">
        <f>HYPERLINK("http://dx.doi.org/10.1007/s00585-998-0764-8","http://dx.doi.org/10.1007/s00585-998-0764-8")</f>
        <v>http://dx.doi.org/10.1007/s00585-998-0764-8</v>
      </c>
      <c r="BG675" t="s">
        <v>74</v>
      </c>
      <c r="BH675" t="s">
        <v>74</v>
      </c>
      <c r="BI675">
        <v>11</v>
      </c>
      <c r="BJ675" t="s">
        <v>3948</v>
      </c>
      <c r="BK675" t="s">
        <v>95</v>
      </c>
      <c r="BL675" t="s">
        <v>3949</v>
      </c>
      <c r="BM675" t="s">
        <v>9183</v>
      </c>
      <c r="BN675" t="s">
        <v>74</v>
      </c>
      <c r="BO675" t="s">
        <v>3951</v>
      </c>
      <c r="BP675" t="s">
        <v>74</v>
      </c>
      <c r="BQ675" t="s">
        <v>74</v>
      </c>
      <c r="BR675" t="s">
        <v>98</v>
      </c>
      <c r="BS675" t="s">
        <v>9184</v>
      </c>
      <c r="BT675" t="str">
        <f>HYPERLINK("https%3A%2F%2Fwww.webofscience.com%2Fwos%2Fwoscc%2Ffull-record%2FWOS:000075205200003","View Full Record in Web of Science")</f>
        <v>View Full Record in Web of Science</v>
      </c>
    </row>
    <row r="676" spans="1:72" x14ac:dyDescent="0.15">
      <c r="A676" t="s">
        <v>72</v>
      </c>
      <c r="B676" t="s">
        <v>9185</v>
      </c>
      <c r="C676" t="s">
        <v>74</v>
      </c>
      <c r="D676" t="s">
        <v>74</v>
      </c>
      <c r="E676" t="s">
        <v>74</v>
      </c>
      <c r="F676" t="s">
        <v>9185</v>
      </c>
      <c r="G676" t="s">
        <v>74</v>
      </c>
      <c r="H676" t="s">
        <v>74</v>
      </c>
      <c r="I676" t="s">
        <v>9186</v>
      </c>
      <c r="J676" t="s">
        <v>6188</v>
      </c>
      <c r="K676" t="s">
        <v>74</v>
      </c>
      <c r="L676" t="s">
        <v>74</v>
      </c>
      <c r="M676" t="s">
        <v>77</v>
      </c>
      <c r="N676" t="s">
        <v>103</v>
      </c>
      <c r="O676" t="s">
        <v>74</v>
      </c>
      <c r="P676" t="s">
        <v>74</v>
      </c>
      <c r="Q676" t="s">
        <v>74</v>
      </c>
      <c r="R676" t="s">
        <v>74</v>
      </c>
      <c r="S676" t="s">
        <v>74</v>
      </c>
      <c r="T676" t="s">
        <v>74</v>
      </c>
      <c r="U676" t="s">
        <v>9187</v>
      </c>
      <c r="V676" t="s">
        <v>9188</v>
      </c>
      <c r="W676" t="s">
        <v>9189</v>
      </c>
      <c r="X676" t="s">
        <v>9190</v>
      </c>
      <c r="Y676" t="s">
        <v>9191</v>
      </c>
      <c r="Z676" t="s">
        <v>9192</v>
      </c>
      <c r="AA676" t="s">
        <v>9193</v>
      </c>
      <c r="AB676" t="s">
        <v>9194</v>
      </c>
      <c r="AC676" t="s">
        <v>74</v>
      </c>
      <c r="AD676" t="s">
        <v>74</v>
      </c>
      <c r="AE676" t="s">
        <v>74</v>
      </c>
      <c r="AF676" t="s">
        <v>74</v>
      </c>
      <c r="AG676">
        <v>55</v>
      </c>
      <c r="AH676">
        <v>377</v>
      </c>
      <c r="AI676">
        <v>427</v>
      </c>
      <c r="AJ676">
        <v>1</v>
      </c>
      <c r="AK676">
        <v>42</v>
      </c>
      <c r="AL676" t="s">
        <v>6197</v>
      </c>
      <c r="AM676" t="s">
        <v>967</v>
      </c>
      <c r="AN676" t="s">
        <v>6198</v>
      </c>
      <c r="AO676" t="s">
        <v>6199</v>
      </c>
      <c r="AP676" t="s">
        <v>6200</v>
      </c>
      <c r="AQ676" t="s">
        <v>74</v>
      </c>
      <c r="AR676" t="s">
        <v>6201</v>
      </c>
      <c r="AS676" t="s">
        <v>6202</v>
      </c>
      <c r="AT676" t="s">
        <v>9154</v>
      </c>
      <c r="AU676">
        <v>1998</v>
      </c>
      <c r="AV676">
        <v>64</v>
      </c>
      <c r="AW676">
        <v>7</v>
      </c>
      <c r="AX676" t="s">
        <v>74</v>
      </c>
      <c r="AY676" t="s">
        <v>74</v>
      </c>
      <c r="AZ676" t="s">
        <v>74</v>
      </c>
      <c r="BA676" t="s">
        <v>74</v>
      </c>
      <c r="BB676">
        <v>2585</v>
      </c>
      <c r="BC676">
        <v>2595</v>
      </c>
      <c r="BD676" t="s">
        <v>74</v>
      </c>
      <c r="BE676" t="s">
        <v>74</v>
      </c>
      <c r="BF676" t="s">
        <v>74</v>
      </c>
      <c r="BG676" t="s">
        <v>74</v>
      </c>
      <c r="BH676" t="s">
        <v>74</v>
      </c>
      <c r="BI676">
        <v>11</v>
      </c>
      <c r="BJ676" t="s">
        <v>1722</v>
      </c>
      <c r="BK676" t="s">
        <v>95</v>
      </c>
      <c r="BL676" t="s">
        <v>1722</v>
      </c>
      <c r="BM676" t="s">
        <v>9195</v>
      </c>
      <c r="BN676">
        <v>9647834</v>
      </c>
      <c r="BO676" t="s">
        <v>74</v>
      </c>
      <c r="BP676" t="s">
        <v>74</v>
      </c>
      <c r="BQ676" t="s">
        <v>74</v>
      </c>
      <c r="BR676" t="s">
        <v>98</v>
      </c>
      <c r="BS676" t="s">
        <v>9196</v>
      </c>
      <c r="BT676" t="str">
        <f>HYPERLINK("https%3A%2F%2Fwww.webofscience.com%2Fwos%2Fwoscc%2Ffull-record%2FWOS:000074644700040","View Full Record in Web of Science")</f>
        <v>View Full Record in Web of Science</v>
      </c>
    </row>
    <row r="677" spans="1:72" x14ac:dyDescent="0.15">
      <c r="A677" t="s">
        <v>72</v>
      </c>
      <c r="B677" t="s">
        <v>9197</v>
      </c>
      <c r="C677" t="s">
        <v>74</v>
      </c>
      <c r="D677" t="s">
        <v>74</v>
      </c>
      <c r="E677" t="s">
        <v>74</v>
      </c>
      <c r="F677" t="s">
        <v>9197</v>
      </c>
      <c r="G677" t="s">
        <v>74</v>
      </c>
      <c r="H677" t="s">
        <v>74</v>
      </c>
      <c r="I677" t="s">
        <v>9198</v>
      </c>
      <c r="J677" t="s">
        <v>9199</v>
      </c>
      <c r="K677" t="s">
        <v>74</v>
      </c>
      <c r="L677" t="s">
        <v>74</v>
      </c>
      <c r="M677" t="s">
        <v>77</v>
      </c>
      <c r="N677" t="s">
        <v>103</v>
      </c>
      <c r="O677" t="s">
        <v>74</v>
      </c>
      <c r="P677" t="s">
        <v>74</v>
      </c>
      <c r="Q677" t="s">
        <v>74</v>
      </c>
      <c r="R677" t="s">
        <v>74</v>
      </c>
      <c r="S677" t="s">
        <v>74</v>
      </c>
      <c r="T677" t="s">
        <v>74</v>
      </c>
      <c r="U677" t="s">
        <v>9200</v>
      </c>
      <c r="V677" t="s">
        <v>74</v>
      </c>
      <c r="W677" t="s">
        <v>9201</v>
      </c>
      <c r="X677" t="s">
        <v>9202</v>
      </c>
      <c r="Y677" t="s">
        <v>9203</v>
      </c>
      <c r="Z677" t="s">
        <v>9204</v>
      </c>
      <c r="AA677" t="s">
        <v>74</v>
      </c>
      <c r="AB677" t="s">
        <v>74</v>
      </c>
      <c r="AC677" t="s">
        <v>74</v>
      </c>
      <c r="AD677" t="s">
        <v>74</v>
      </c>
      <c r="AE677" t="s">
        <v>74</v>
      </c>
      <c r="AF677" t="s">
        <v>74</v>
      </c>
      <c r="AG677">
        <v>29</v>
      </c>
      <c r="AH677">
        <v>10</v>
      </c>
      <c r="AI677">
        <v>10</v>
      </c>
      <c r="AJ677">
        <v>0</v>
      </c>
      <c r="AK677">
        <v>7</v>
      </c>
      <c r="AL677" t="s">
        <v>9205</v>
      </c>
      <c r="AM677" t="s">
        <v>4407</v>
      </c>
      <c r="AN677" t="s">
        <v>9206</v>
      </c>
      <c r="AO677" t="s">
        <v>9207</v>
      </c>
      <c r="AP677" t="s">
        <v>74</v>
      </c>
      <c r="AQ677" t="s">
        <v>74</v>
      </c>
      <c r="AR677" t="s">
        <v>9199</v>
      </c>
      <c r="AS677" t="s">
        <v>9199</v>
      </c>
      <c r="AT677" t="s">
        <v>9154</v>
      </c>
      <c r="AU677">
        <v>1998</v>
      </c>
      <c r="AV677">
        <v>115</v>
      </c>
      <c r="AW677">
        <v>3</v>
      </c>
      <c r="AX677" t="s">
        <v>74</v>
      </c>
      <c r="AY677" t="s">
        <v>74</v>
      </c>
      <c r="AZ677" t="s">
        <v>74</v>
      </c>
      <c r="BA677" t="s">
        <v>74</v>
      </c>
      <c r="BB677">
        <v>767</v>
      </c>
      <c r="BC677">
        <v>771</v>
      </c>
      <c r="BD677" t="s">
        <v>74</v>
      </c>
      <c r="BE677" t="s">
        <v>9208</v>
      </c>
      <c r="BF677" t="str">
        <f>HYPERLINK("http://dx.doi.org/10.2307/4089426","http://dx.doi.org/10.2307/4089426")</f>
        <v>http://dx.doi.org/10.2307/4089426</v>
      </c>
      <c r="BG677" t="s">
        <v>74</v>
      </c>
      <c r="BH677" t="s">
        <v>74</v>
      </c>
      <c r="BI677">
        <v>5</v>
      </c>
      <c r="BJ677" t="s">
        <v>3526</v>
      </c>
      <c r="BK677" t="s">
        <v>95</v>
      </c>
      <c r="BL677" t="s">
        <v>117</v>
      </c>
      <c r="BM677" t="s">
        <v>9209</v>
      </c>
      <c r="BN677" t="s">
        <v>74</v>
      </c>
      <c r="BO677" t="s">
        <v>74</v>
      </c>
      <c r="BP677" t="s">
        <v>74</v>
      </c>
      <c r="BQ677" t="s">
        <v>74</v>
      </c>
      <c r="BR677" t="s">
        <v>98</v>
      </c>
      <c r="BS677" t="s">
        <v>9210</v>
      </c>
      <c r="BT677" t="str">
        <f>HYPERLINK("https%3A%2F%2Fwww.webofscience.com%2Fwos%2Fwoscc%2Ffull-record%2FWOS:000074893700022","View Full Record in Web of Science")</f>
        <v>View Full Record in Web of Science</v>
      </c>
    </row>
    <row r="678" spans="1:72" x14ac:dyDescent="0.15">
      <c r="A678" t="s">
        <v>72</v>
      </c>
      <c r="B678" t="s">
        <v>9211</v>
      </c>
      <c r="C678" t="s">
        <v>74</v>
      </c>
      <c r="D678" t="s">
        <v>74</v>
      </c>
      <c r="E678" t="s">
        <v>74</v>
      </c>
      <c r="F678" t="s">
        <v>9211</v>
      </c>
      <c r="G678" t="s">
        <v>74</v>
      </c>
      <c r="H678" t="s">
        <v>74</v>
      </c>
      <c r="I678" t="s">
        <v>9212</v>
      </c>
      <c r="J678" t="s">
        <v>5178</v>
      </c>
      <c r="K678" t="s">
        <v>74</v>
      </c>
      <c r="L678" t="s">
        <v>74</v>
      </c>
      <c r="M678" t="s">
        <v>77</v>
      </c>
      <c r="N678" t="s">
        <v>103</v>
      </c>
      <c r="O678" t="s">
        <v>74</v>
      </c>
      <c r="P678" t="s">
        <v>74</v>
      </c>
      <c r="Q678" t="s">
        <v>74</v>
      </c>
      <c r="R678" t="s">
        <v>74</v>
      </c>
      <c r="S678" t="s">
        <v>74</v>
      </c>
      <c r="T678" t="s">
        <v>74</v>
      </c>
      <c r="U678" t="s">
        <v>9213</v>
      </c>
      <c r="V678" t="s">
        <v>9214</v>
      </c>
      <c r="W678" t="s">
        <v>9215</v>
      </c>
      <c r="X678" t="s">
        <v>9216</v>
      </c>
      <c r="Y678" t="s">
        <v>9217</v>
      </c>
      <c r="Z678" t="s">
        <v>9218</v>
      </c>
      <c r="AA678" t="s">
        <v>9219</v>
      </c>
      <c r="AB678" t="s">
        <v>9220</v>
      </c>
      <c r="AC678" t="s">
        <v>74</v>
      </c>
      <c r="AD678" t="s">
        <v>74</v>
      </c>
      <c r="AE678" t="s">
        <v>74</v>
      </c>
      <c r="AF678" t="s">
        <v>74</v>
      </c>
      <c r="AG678">
        <v>49</v>
      </c>
      <c r="AH678">
        <v>29</v>
      </c>
      <c r="AI678">
        <v>31</v>
      </c>
      <c r="AJ678">
        <v>0</v>
      </c>
      <c r="AK678">
        <v>8</v>
      </c>
      <c r="AL678" t="s">
        <v>256</v>
      </c>
      <c r="AM678" t="s">
        <v>257</v>
      </c>
      <c r="AN678" t="s">
        <v>5186</v>
      </c>
      <c r="AO678" t="s">
        <v>259</v>
      </c>
      <c r="AP678" t="s">
        <v>5187</v>
      </c>
      <c r="AQ678" t="s">
        <v>74</v>
      </c>
      <c r="AR678" t="s">
        <v>260</v>
      </c>
      <c r="AS678" t="s">
        <v>5188</v>
      </c>
      <c r="AT678" t="s">
        <v>9154</v>
      </c>
      <c r="AU678">
        <v>1998</v>
      </c>
      <c r="AV678">
        <v>76</v>
      </c>
      <c r="AW678">
        <v>7</v>
      </c>
      <c r="AX678" t="s">
        <v>74</v>
      </c>
      <c r="AY678" t="s">
        <v>74</v>
      </c>
      <c r="AZ678" t="s">
        <v>74</v>
      </c>
      <c r="BA678" t="s">
        <v>74</v>
      </c>
      <c r="BB678">
        <v>1226</v>
      </c>
      <c r="BC678">
        <v>1235</v>
      </c>
      <c r="BD678" t="s">
        <v>74</v>
      </c>
      <c r="BE678" t="s">
        <v>9221</v>
      </c>
      <c r="BF678" t="str">
        <f>HYPERLINK("http://dx.doi.org/10.1139/cjz-76-7-1226","http://dx.doi.org/10.1139/cjz-76-7-1226")</f>
        <v>http://dx.doi.org/10.1139/cjz-76-7-1226</v>
      </c>
      <c r="BG678" t="s">
        <v>74</v>
      </c>
      <c r="BH678" t="s">
        <v>74</v>
      </c>
      <c r="BI678">
        <v>10</v>
      </c>
      <c r="BJ678" t="s">
        <v>117</v>
      </c>
      <c r="BK678" t="s">
        <v>95</v>
      </c>
      <c r="BL678" t="s">
        <v>117</v>
      </c>
      <c r="BM678" t="s">
        <v>9222</v>
      </c>
      <c r="BN678" t="s">
        <v>74</v>
      </c>
      <c r="BO678" t="s">
        <v>74</v>
      </c>
      <c r="BP678" t="s">
        <v>74</v>
      </c>
      <c r="BQ678" t="s">
        <v>74</v>
      </c>
      <c r="BR678" t="s">
        <v>98</v>
      </c>
      <c r="BS678" t="s">
        <v>9223</v>
      </c>
      <c r="BT678" t="str">
        <f>HYPERLINK("https%3A%2F%2Fwww.webofscience.com%2Fwos%2Fwoscc%2Ffull-record%2FWOS:000078084600003","View Full Record in Web of Science")</f>
        <v>View Full Record in Web of Science</v>
      </c>
    </row>
    <row r="679" spans="1:72" x14ac:dyDescent="0.15">
      <c r="A679" t="s">
        <v>72</v>
      </c>
      <c r="B679" t="s">
        <v>9224</v>
      </c>
      <c r="C679" t="s">
        <v>74</v>
      </c>
      <c r="D679" t="s">
        <v>74</v>
      </c>
      <c r="E679" t="s">
        <v>74</v>
      </c>
      <c r="F679" t="s">
        <v>9224</v>
      </c>
      <c r="G679" t="s">
        <v>74</v>
      </c>
      <c r="H679" t="s">
        <v>74</v>
      </c>
      <c r="I679" t="s">
        <v>9225</v>
      </c>
      <c r="J679" t="s">
        <v>5178</v>
      </c>
      <c r="K679" t="s">
        <v>74</v>
      </c>
      <c r="L679" t="s">
        <v>74</v>
      </c>
      <c r="M679" t="s">
        <v>77</v>
      </c>
      <c r="N679" t="s">
        <v>103</v>
      </c>
      <c r="O679" t="s">
        <v>74</v>
      </c>
      <c r="P679" t="s">
        <v>74</v>
      </c>
      <c r="Q679" t="s">
        <v>74</v>
      </c>
      <c r="R679" t="s">
        <v>74</v>
      </c>
      <c r="S679" t="s">
        <v>74</v>
      </c>
      <c r="T679" t="s">
        <v>74</v>
      </c>
      <c r="U679" t="s">
        <v>9226</v>
      </c>
      <c r="V679" t="s">
        <v>9227</v>
      </c>
      <c r="W679" t="s">
        <v>9228</v>
      </c>
      <c r="X679" t="s">
        <v>9229</v>
      </c>
      <c r="Y679" t="s">
        <v>9230</v>
      </c>
      <c r="Z679" t="s">
        <v>9231</v>
      </c>
      <c r="AA679" t="s">
        <v>9232</v>
      </c>
      <c r="AB679" t="s">
        <v>7930</v>
      </c>
      <c r="AC679" t="s">
        <v>74</v>
      </c>
      <c r="AD679" t="s">
        <v>74</v>
      </c>
      <c r="AE679" t="s">
        <v>74</v>
      </c>
      <c r="AF679" t="s">
        <v>74</v>
      </c>
      <c r="AG679">
        <v>45</v>
      </c>
      <c r="AH679">
        <v>14</v>
      </c>
      <c r="AI679">
        <v>15</v>
      </c>
      <c r="AJ679">
        <v>0</v>
      </c>
      <c r="AK679">
        <v>4</v>
      </c>
      <c r="AL679" t="s">
        <v>5185</v>
      </c>
      <c r="AM679" t="s">
        <v>257</v>
      </c>
      <c r="AN679" t="s">
        <v>5186</v>
      </c>
      <c r="AO679" t="s">
        <v>259</v>
      </c>
      <c r="AP679" t="s">
        <v>5187</v>
      </c>
      <c r="AQ679" t="s">
        <v>74</v>
      </c>
      <c r="AR679" t="s">
        <v>260</v>
      </c>
      <c r="AS679" t="s">
        <v>5188</v>
      </c>
      <c r="AT679" t="s">
        <v>9154</v>
      </c>
      <c r="AU679">
        <v>1998</v>
      </c>
      <c r="AV679">
        <v>76</v>
      </c>
      <c r="AW679">
        <v>7</v>
      </c>
      <c r="AX679" t="s">
        <v>74</v>
      </c>
      <c r="AY679" t="s">
        <v>74</v>
      </c>
      <c r="AZ679" t="s">
        <v>74</v>
      </c>
      <c r="BA679" t="s">
        <v>74</v>
      </c>
      <c r="BB679">
        <v>1247</v>
      </c>
      <c r="BC679">
        <v>1253</v>
      </c>
      <c r="BD679" t="s">
        <v>74</v>
      </c>
      <c r="BE679" t="s">
        <v>9233</v>
      </c>
      <c r="BF679" t="str">
        <f>HYPERLINK("http://dx.doi.org/10.1139/cjz-76-7-1247","http://dx.doi.org/10.1139/cjz-76-7-1247")</f>
        <v>http://dx.doi.org/10.1139/cjz-76-7-1247</v>
      </c>
      <c r="BG679" t="s">
        <v>74</v>
      </c>
      <c r="BH679" t="s">
        <v>74</v>
      </c>
      <c r="BI679">
        <v>7</v>
      </c>
      <c r="BJ679" t="s">
        <v>117</v>
      </c>
      <c r="BK679" t="s">
        <v>95</v>
      </c>
      <c r="BL679" t="s">
        <v>117</v>
      </c>
      <c r="BM679" t="s">
        <v>9222</v>
      </c>
      <c r="BN679" t="s">
        <v>74</v>
      </c>
      <c r="BO679" t="s">
        <v>74</v>
      </c>
      <c r="BP679" t="s">
        <v>74</v>
      </c>
      <c r="BQ679" t="s">
        <v>74</v>
      </c>
      <c r="BR679" t="s">
        <v>98</v>
      </c>
      <c r="BS679" t="s">
        <v>9234</v>
      </c>
      <c r="BT679" t="str">
        <f>HYPERLINK("https%3A%2F%2Fwww.webofscience.com%2Fwos%2Fwoscc%2Ffull-record%2FWOS:000078084600005","View Full Record in Web of Science")</f>
        <v>View Full Record in Web of Science</v>
      </c>
    </row>
    <row r="680" spans="1:72" x14ac:dyDescent="0.15">
      <c r="A680" t="s">
        <v>72</v>
      </c>
      <c r="B680" t="s">
        <v>9235</v>
      </c>
      <c r="C680" t="s">
        <v>74</v>
      </c>
      <c r="D680" t="s">
        <v>74</v>
      </c>
      <c r="E680" t="s">
        <v>74</v>
      </c>
      <c r="F680" t="s">
        <v>9235</v>
      </c>
      <c r="G680" t="s">
        <v>74</v>
      </c>
      <c r="H680" t="s">
        <v>74</v>
      </c>
      <c r="I680" t="s">
        <v>9236</v>
      </c>
      <c r="J680" t="s">
        <v>8219</v>
      </c>
      <c r="K680" t="s">
        <v>74</v>
      </c>
      <c r="L680" t="s">
        <v>74</v>
      </c>
      <c r="M680" t="s">
        <v>77</v>
      </c>
      <c r="N680" t="s">
        <v>103</v>
      </c>
      <c r="O680" t="s">
        <v>74</v>
      </c>
      <c r="P680" t="s">
        <v>74</v>
      </c>
      <c r="Q680" t="s">
        <v>74</v>
      </c>
      <c r="R680" t="s">
        <v>74</v>
      </c>
      <c r="S680" t="s">
        <v>74</v>
      </c>
      <c r="T680" t="s">
        <v>9237</v>
      </c>
      <c r="U680" t="s">
        <v>9238</v>
      </c>
      <c r="V680" t="s">
        <v>9239</v>
      </c>
      <c r="W680" t="s">
        <v>9240</v>
      </c>
      <c r="X680" t="s">
        <v>9241</v>
      </c>
      <c r="Y680" t="s">
        <v>9242</v>
      </c>
      <c r="Z680" t="s">
        <v>74</v>
      </c>
      <c r="AA680" t="s">
        <v>74</v>
      </c>
      <c r="AB680" t="s">
        <v>74</v>
      </c>
      <c r="AC680" t="s">
        <v>74</v>
      </c>
      <c r="AD680" t="s">
        <v>74</v>
      </c>
      <c r="AE680" t="s">
        <v>74</v>
      </c>
      <c r="AF680" t="s">
        <v>74</v>
      </c>
      <c r="AG680">
        <v>24</v>
      </c>
      <c r="AH680">
        <v>3</v>
      </c>
      <c r="AI680">
        <v>4</v>
      </c>
      <c r="AJ680">
        <v>0</v>
      </c>
      <c r="AK680">
        <v>4</v>
      </c>
      <c r="AL680" t="s">
        <v>445</v>
      </c>
      <c r="AM680" t="s">
        <v>229</v>
      </c>
      <c r="AN680" t="s">
        <v>446</v>
      </c>
      <c r="AO680" t="s">
        <v>8228</v>
      </c>
      <c r="AP680" t="s">
        <v>74</v>
      </c>
      <c r="AQ680" t="s">
        <v>74</v>
      </c>
      <c r="AR680" t="s">
        <v>8229</v>
      </c>
      <c r="AS680" t="s">
        <v>8230</v>
      </c>
      <c r="AT680" t="s">
        <v>9154</v>
      </c>
      <c r="AU680">
        <v>1998</v>
      </c>
      <c r="AV680">
        <v>120</v>
      </c>
      <c r="AW680">
        <v>3</v>
      </c>
      <c r="AX680" t="s">
        <v>74</v>
      </c>
      <c r="AY680" t="s">
        <v>74</v>
      </c>
      <c r="AZ680" t="s">
        <v>74</v>
      </c>
      <c r="BA680" t="s">
        <v>74</v>
      </c>
      <c r="BB680">
        <v>597</v>
      </c>
      <c r="BC680">
        <v>604</v>
      </c>
      <c r="BD680" t="s">
        <v>74</v>
      </c>
      <c r="BE680" t="s">
        <v>9243</v>
      </c>
      <c r="BF680" t="str">
        <f>HYPERLINK("http://dx.doi.org/10.1016/S0305-0491(98)10055-X","http://dx.doi.org/10.1016/S0305-0491(98)10055-X")</f>
        <v>http://dx.doi.org/10.1016/S0305-0491(98)10055-X</v>
      </c>
      <c r="BG680" t="s">
        <v>74</v>
      </c>
      <c r="BH680" t="s">
        <v>74</v>
      </c>
      <c r="BI680">
        <v>8</v>
      </c>
      <c r="BJ680" t="s">
        <v>8232</v>
      </c>
      <c r="BK680" t="s">
        <v>95</v>
      </c>
      <c r="BL680" t="s">
        <v>8232</v>
      </c>
      <c r="BM680" t="s">
        <v>9244</v>
      </c>
      <c r="BN680" t="s">
        <v>74</v>
      </c>
      <c r="BO680" t="s">
        <v>74</v>
      </c>
      <c r="BP680" t="s">
        <v>74</v>
      </c>
      <c r="BQ680" t="s">
        <v>74</v>
      </c>
      <c r="BR680" t="s">
        <v>98</v>
      </c>
      <c r="BS680" t="s">
        <v>9245</v>
      </c>
      <c r="BT680" t="str">
        <f>HYPERLINK("https%3A%2F%2Fwww.webofscience.com%2Fwos%2Fwoscc%2Ffull-record%2FWOS:000075830300019","View Full Record in Web of Science")</f>
        <v>View Full Record in Web of Science</v>
      </c>
    </row>
    <row r="681" spans="1:72" x14ac:dyDescent="0.15">
      <c r="A681" t="s">
        <v>72</v>
      </c>
      <c r="B681" t="s">
        <v>9246</v>
      </c>
      <c r="C681" t="s">
        <v>74</v>
      </c>
      <c r="D681" t="s">
        <v>74</v>
      </c>
      <c r="E681" t="s">
        <v>74</v>
      </c>
      <c r="F681" t="s">
        <v>9246</v>
      </c>
      <c r="G681" t="s">
        <v>74</v>
      </c>
      <c r="H681" t="s">
        <v>74</v>
      </c>
      <c r="I681" t="s">
        <v>9247</v>
      </c>
      <c r="J681" t="s">
        <v>9248</v>
      </c>
      <c r="K681" t="s">
        <v>74</v>
      </c>
      <c r="L681" t="s">
        <v>74</v>
      </c>
      <c r="M681" t="s">
        <v>77</v>
      </c>
      <c r="N681" t="s">
        <v>978</v>
      </c>
      <c r="O681" t="s">
        <v>74</v>
      </c>
      <c r="P681" t="s">
        <v>74</v>
      </c>
      <c r="Q681" t="s">
        <v>74</v>
      </c>
      <c r="R681" t="s">
        <v>74</v>
      </c>
      <c r="S681" t="s">
        <v>74</v>
      </c>
      <c r="T681" t="s">
        <v>74</v>
      </c>
      <c r="U681" t="s">
        <v>74</v>
      </c>
      <c r="V681" t="s">
        <v>74</v>
      </c>
      <c r="W681" t="s">
        <v>74</v>
      </c>
      <c r="X681" t="s">
        <v>74</v>
      </c>
      <c r="Y681" t="s">
        <v>74</v>
      </c>
      <c r="Z681" t="s">
        <v>74</v>
      </c>
      <c r="AA681" t="s">
        <v>9249</v>
      </c>
      <c r="AB681" t="s">
        <v>74</v>
      </c>
      <c r="AC681" t="s">
        <v>74</v>
      </c>
      <c r="AD681" t="s">
        <v>74</v>
      </c>
      <c r="AE681" t="s">
        <v>74</v>
      </c>
      <c r="AF681" t="s">
        <v>74</v>
      </c>
      <c r="AG681">
        <v>1</v>
      </c>
      <c r="AH681">
        <v>1</v>
      </c>
      <c r="AI681">
        <v>1</v>
      </c>
      <c r="AJ681">
        <v>0</v>
      </c>
      <c r="AK681">
        <v>1</v>
      </c>
      <c r="AL681" t="s">
        <v>887</v>
      </c>
      <c r="AM681" t="s">
        <v>278</v>
      </c>
      <c r="AN681" t="s">
        <v>888</v>
      </c>
      <c r="AO681" t="s">
        <v>9250</v>
      </c>
      <c r="AP681" t="s">
        <v>74</v>
      </c>
      <c r="AQ681" t="s">
        <v>74</v>
      </c>
      <c r="AR681" t="s">
        <v>9251</v>
      </c>
      <c r="AS681" t="s">
        <v>9252</v>
      </c>
      <c r="AT681" t="s">
        <v>9154</v>
      </c>
      <c r="AU681">
        <v>1998</v>
      </c>
      <c r="AV681">
        <v>132</v>
      </c>
      <c r="AW681">
        <v>2</v>
      </c>
      <c r="AX681" t="s">
        <v>74</v>
      </c>
      <c r="AY681" t="s">
        <v>74</v>
      </c>
      <c r="AZ681" t="s">
        <v>74</v>
      </c>
      <c r="BA681" t="s">
        <v>74</v>
      </c>
      <c r="BB681">
        <v>208</v>
      </c>
      <c r="BC681">
        <v>208</v>
      </c>
      <c r="BD681" t="s">
        <v>74</v>
      </c>
      <c r="BE681" t="s">
        <v>74</v>
      </c>
      <c r="BF681" t="s">
        <v>74</v>
      </c>
      <c r="BG681" t="s">
        <v>74</v>
      </c>
      <c r="BH681" t="s">
        <v>74</v>
      </c>
      <c r="BI681">
        <v>1</v>
      </c>
      <c r="BJ681" t="s">
        <v>2301</v>
      </c>
      <c r="BK681" t="s">
        <v>95</v>
      </c>
      <c r="BL681" t="s">
        <v>2301</v>
      </c>
      <c r="BM681" t="s">
        <v>9253</v>
      </c>
      <c r="BN681" t="s">
        <v>74</v>
      </c>
      <c r="BO681" t="s">
        <v>74</v>
      </c>
      <c r="BP681" t="s">
        <v>74</v>
      </c>
      <c r="BQ681" t="s">
        <v>74</v>
      </c>
      <c r="BR681" t="s">
        <v>98</v>
      </c>
      <c r="BS681" t="s">
        <v>9254</v>
      </c>
      <c r="BT681" t="str">
        <f>HYPERLINK("https%3A%2F%2Fwww.webofscience.com%2Fwos%2Fwoscc%2Ffull-record%2FWOS:000075398300008","View Full Record in Web of Science")</f>
        <v>View Full Record in Web of Science</v>
      </c>
    </row>
    <row r="682" spans="1:72" x14ac:dyDescent="0.15">
      <c r="A682" t="s">
        <v>72</v>
      </c>
      <c r="B682" t="s">
        <v>9255</v>
      </c>
      <c r="C682" t="s">
        <v>74</v>
      </c>
      <c r="D682" t="s">
        <v>74</v>
      </c>
      <c r="E682" t="s">
        <v>74</v>
      </c>
      <c r="F682" t="s">
        <v>9255</v>
      </c>
      <c r="G682" t="s">
        <v>74</v>
      </c>
      <c r="H682" t="s">
        <v>74</v>
      </c>
      <c r="I682" t="s">
        <v>9256</v>
      </c>
      <c r="J682" t="s">
        <v>6280</v>
      </c>
      <c r="K682" t="s">
        <v>74</v>
      </c>
      <c r="L682" t="s">
        <v>74</v>
      </c>
      <c r="M682" t="s">
        <v>77</v>
      </c>
      <c r="N682" t="s">
        <v>103</v>
      </c>
      <c r="O682" t="s">
        <v>74</v>
      </c>
      <c r="P682" t="s">
        <v>74</v>
      </c>
      <c r="Q682" t="s">
        <v>74</v>
      </c>
      <c r="R682" t="s">
        <v>74</v>
      </c>
      <c r="S682" t="s">
        <v>74</v>
      </c>
      <c r="T682" t="s">
        <v>74</v>
      </c>
      <c r="U682" t="s">
        <v>9257</v>
      </c>
      <c r="V682" t="s">
        <v>9258</v>
      </c>
      <c r="W682" t="s">
        <v>9259</v>
      </c>
      <c r="X682" t="s">
        <v>9260</v>
      </c>
      <c r="Y682" t="s">
        <v>9261</v>
      </c>
      <c r="Z682" t="s">
        <v>74</v>
      </c>
      <c r="AA682" t="s">
        <v>74</v>
      </c>
      <c r="AB682" t="s">
        <v>9262</v>
      </c>
      <c r="AC682" t="s">
        <v>74</v>
      </c>
      <c r="AD682" t="s">
        <v>74</v>
      </c>
      <c r="AE682" t="s">
        <v>74</v>
      </c>
      <c r="AF682" t="s">
        <v>74</v>
      </c>
      <c r="AG682">
        <v>57</v>
      </c>
      <c r="AH682">
        <v>41</v>
      </c>
      <c r="AI682">
        <v>48</v>
      </c>
      <c r="AJ682">
        <v>0</v>
      </c>
      <c r="AK682">
        <v>6</v>
      </c>
      <c r="AL682" t="s">
        <v>445</v>
      </c>
      <c r="AM682" t="s">
        <v>229</v>
      </c>
      <c r="AN682" t="s">
        <v>446</v>
      </c>
      <c r="AO682" t="s">
        <v>6289</v>
      </c>
      <c r="AP682" t="s">
        <v>74</v>
      </c>
      <c r="AQ682" t="s">
        <v>74</v>
      </c>
      <c r="AR682" t="s">
        <v>6291</v>
      </c>
      <c r="AS682" t="s">
        <v>6292</v>
      </c>
      <c r="AT682" t="s">
        <v>9154</v>
      </c>
      <c r="AU682">
        <v>1998</v>
      </c>
      <c r="AV682">
        <v>45</v>
      </c>
      <c r="AW682">
        <v>7</v>
      </c>
      <c r="AX682" t="s">
        <v>74</v>
      </c>
      <c r="AY682" t="s">
        <v>74</v>
      </c>
      <c r="AZ682" t="s">
        <v>74</v>
      </c>
      <c r="BA682" t="s">
        <v>74</v>
      </c>
      <c r="BB682">
        <v>1085</v>
      </c>
      <c r="BC682" t="s">
        <v>3164</v>
      </c>
      <c r="BD682" t="s">
        <v>74</v>
      </c>
      <c r="BE682" t="s">
        <v>9263</v>
      </c>
      <c r="BF682" t="str">
        <f>HYPERLINK("http://dx.doi.org/10.1016/S0967-0637(98)00006-5","http://dx.doi.org/10.1016/S0967-0637(98)00006-5")</f>
        <v>http://dx.doi.org/10.1016/S0967-0637(98)00006-5</v>
      </c>
      <c r="BG682" t="s">
        <v>74</v>
      </c>
      <c r="BH682" t="s">
        <v>74</v>
      </c>
      <c r="BI682">
        <v>24</v>
      </c>
      <c r="BJ682" t="s">
        <v>451</v>
      </c>
      <c r="BK682" t="s">
        <v>95</v>
      </c>
      <c r="BL682" t="s">
        <v>451</v>
      </c>
      <c r="BM682" t="s">
        <v>9264</v>
      </c>
      <c r="BN682" t="s">
        <v>74</v>
      </c>
      <c r="BO682" t="s">
        <v>74</v>
      </c>
      <c r="BP682" t="s">
        <v>74</v>
      </c>
      <c r="BQ682" t="s">
        <v>74</v>
      </c>
      <c r="BR682" t="s">
        <v>98</v>
      </c>
      <c r="BS682" t="s">
        <v>9265</v>
      </c>
      <c r="BT682" t="str">
        <f>HYPERLINK("https%3A%2F%2Fwww.webofscience.com%2Fwos%2Fwoscc%2Ffull-record%2FWOS:000075750100003","View Full Record in Web of Science")</f>
        <v>View Full Record in Web of Science</v>
      </c>
    </row>
    <row r="683" spans="1:72" x14ac:dyDescent="0.15">
      <c r="A683" t="s">
        <v>72</v>
      </c>
      <c r="B683" t="s">
        <v>9266</v>
      </c>
      <c r="C683" t="s">
        <v>74</v>
      </c>
      <c r="D683" t="s">
        <v>74</v>
      </c>
      <c r="E683" t="s">
        <v>74</v>
      </c>
      <c r="F683" t="s">
        <v>9266</v>
      </c>
      <c r="G683" t="s">
        <v>74</v>
      </c>
      <c r="H683" t="s">
        <v>74</v>
      </c>
      <c r="I683" t="s">
        <v>9267</v>
      </c>
      <c r="J683" t="s">
        <v>6280</v>
      </c>
      <c r="K683" t="s">
        <v>74</v>
      </c>
      <c r="L683" t="s">
        <v>74</v>
      </c>
      <c r="M683" t="s">
        <v>77</v>
      </c>
      <c r="N683" t="s">
        <v>103</v>
      </c>
      <c r="O683" t="s">
        <v>74</v>
      </c>
      <c r="P683" t="s">
        <v>74</v>
      </c>
      <c r="Q683" t="s">
        <v>74</v>
      </c>
      <c r="R683" t="s">
        <v>74</v>
      </c>
      <c r="S683" t="s">
        <v>74</v>
      </c>
      <c r="T683" t="s">
        <v>74</v>
      </c>
      <c r="U683" t="s">
        <v>9268</v>
      </c>
      <c r="V683" t="s">
        <v>9269</v>
      </c>
      <c r="W683" t="s">
        <v>9270</v>
      </c>
      <c r="X683" t="s">
        <v>9271</v>
      </c>
      <c r="Y683" t="s">
        <v>9272</v>
      </c>
      <c r="Z683" t="s">
        <v>9273</v>
      </c>
      <c r="AA683" t="s">
        <v>9274</v>
      </c>
      <c r="AB683" t="s">
        <v>9275</v>
      </c>
      <c r="AC683" t="s">
        <v>74</v>
      </c>
      <c r="AD683" t="s">
        <v>74</v>
      </c>
      <c r="AE683" t="s">
        <v>74</v>
      </c>
      <c r="AF683" t="s">
        <v>74</v>
      </c>
      <c r="AG683">
        <v>56</v>
      </c>
      <c r="AH683">
        <v>59</v>
      </c>
      <c r="AI683">
        <v>63</v>
      </c>
      <c r="AJ683">
        <v>0</v>
      </c>
      <c r="AK683">
        <v>12</v>
      </c>
      <c r="AL683" t="s">
        <v>445</v>
      </c>
      <c r="AM683" t="s">
        <v>229</v>
      </c>
      <c r="AN683" t="s">
        <v>446</v>
      </c>
      <c r="AO683" t="s">
        <v>6289</v>
      </c>
      <c r="AP683" t="s">
        <v>74</v>
      </c>
      <c r="AQ683" t="s">
        <v>74</v>
      </c>
      <c r="AR683" t="s">
        <v>6291</v>
      </c>
      <c r="AS683" t="s">
        <v>6292</v>
      </c>
      <c r="AT683" t="s">
        <v>9154</v>
      </c>
      <c r="AU683">
        <v>1998</v>
      </c>
      <c r="AV683">
        <v>45</v>
      </c>
      <c r="AW683">
        <v>7</v>
      </c>
      <c r="AX683" t="s">
        <v>74</v>
      </c>
      <c r="AY683" t="s">
        <v>74</v>
      </c>
      <c r="AZ683" t="s">
        <v>74</v>
      </c>
      <c r="BA683" t="s">
        <v>74</v>
      </c>
      <c r="BB683">
        <v>1187</v>
      </c>
      <c r="BC683">
        <v>1209</v>
      </c>
      <c r="BD683" t="s">
        <v>74</v>
      </c>
      <c r="BE683" t="s">
        <v>9276</v>
      </c>
      <c r="BF683" t="str">
        <f>HYPERLINK("http://dx.doi.org/10.1016/S0967-0637(98)00010-7","http://dx.doi.org/10.1016/S0967-0637(98)00010-7")</f>
        <v>http://dx.doi.org/10.1016/S0967-0637(98)00010-7</v>
      </c>
      <c r="BG683" t="s">
        <v>74</v>
      </c>
      <c r="BH683" t="s">
        <v>74</v>
      </c>
      <c r="BI683">
        <v>23</v>
      </c>
      <c r="BJ683" t="s">
        <v>451</v>
      </c>
      <c r="BK683" t="s">
        <v>95</v>
      </c>
      <c r="BL683" t="s">
        <v>451</v>
      </c>
      <c r="BM683" t="s">
        <v>9264</v>
      </c>
      <c r="BN683" t="s">
        <v>74</v>
      </c>
      <c r="BO683" t="s">
        <v>74</v>
      </c>
      <c r="BP683" t="s">
        <v>74</v>
      </c>
      <c r="BQ683" t="s">
        <v>74</v>
      </c>
      <c r="BR683" t="s">
        <v>98</v>
      </c>
      <c r="BS683" t="s">
        <v>9277</v>
      </c>
      <c r="BT683" t="str">
        <f>HYPERLINK("https%3A%2F%2Fwww.webofscience.com%2Fwos%2Fwoscc%2Ffull-record%2FWOS:000075750100007","View Full Record in Web of Science")</f>
        <v>View Full Record in Web of Science</v>
      </c>
    </row>
    <row r="684" spans="1:72" x14ac:dyDescent="0.15">
      <c r="A684" t="s">
        <v>72</v>
      </c>
      <c r="B684" t="s">
        <v>9278</v>
      </c>
      <c r="C684" t="s">
        <v>74</v>
      </c>
      <c r="D684" t="s">
        <v>74</v>
      </c>
      <c r="E684" t="s">
        <v>74</v>
      </c>
      <c r="F684" t="s">
        <v>9278</v>
      </c>
      <c r="G684" t="s">
        <v>74</v>
      </c>
      <c r="H684" t="s">
        <v>74</v>
      </c>
      <c r="I684" t="s">
        <v>9279</v>
      </c>
      <c r="J684" t="s">
        <v>9280</v>
      </c>
      <c r="K684" t="s">
        <v>74</v>
      </c>
      <c r="L684" t="s">
        <v>74</v>
      </c>
      <c r="M684" t="s">
        <v>77</v>
      </c>
      <c r="N684" t="s">
        <v>103</v>
      </c>
      <c r="O684" t="s">
        <v>74</v>
      </c>
      <c r="P684" t="s">
        <v>74</v>
      </c>
      <c r="Q684" t="s">
        <v>74</v>
      </c>
      <c r="R684" t="s">
        <v>74</v>
      </c>
      <c r="S684" t="s">
        <v>74</v>
      </c>
      <c r="T684" t="s">
        <v>9281</v>
      </c>
      <c r="U684" t="s">
        <v>9282</v>
      </c>
      <c r="V684" t="s">
        <v>9283</v>
      </c>
      <c r="W684" t="s">
        <v>9284</v>
      </c>
      <c r="X684" t="s">
        <v>9285</v>
      </c>
      <c r="Y684" t="s">
        <v>9286</v>
      </c>
      <c r="Z684" t="s">
        <v>74</v>
      </c>
      <c r="AA684" t="s">
        <v>9287</v>
      </c>
      <c r="AB684" t="s">
        <v>9288</v>
      </c>
      <c r="AC684" t="s">
        <v>74</v>
      </c>
      <c r="AD684" t="s">
        <v>74</v>
      </c>
      <c r="AE684" t="s">
        <v>74</v>
      </c>
      <c r="AF684" t="s">
        <v>74</v>
      </c>
      <c r="AG684">
        <v>39</v>
      </c>
      <c r="AH684">
        <v>32</v>
      </c>
      <c r="AI684">
        <v>32</v>
      </c>
      <c r="AJ684">
        <v>0</v>
      </c>
      <c r="AK684">
        <v>10</v>
      </c>
      <c r="AL684" t="s">
        <v>9289</v>
      </c>
      <c r="AM684" t="s">
        <v>1121</v>
      </c>
      <c r="AN684" t="s">
        <v>9290</v>
      </c>
      <c r="AO684" t="s">
        <v>9291</v>
      </c>
      <c r="AP684" t="s">
        <v>74</v>
      </c>
      <c r="AQ684" t="s">
        <v>74</v>
      </c>
      <c r="AR684" t="s">
        <v>9292</v>
      </c>
      <c r="AS684" t="s">
        <v>9293</v>
      </c>
      <c r="AT684" t="s">
        <v>9154</v>
      </c>
      <c r="AU684">
        <v>1998</v>
      </c>
      <c r="AV684">
        <v>19</v>
      </c>
      <c r="AW684">
        <v>7</v>
      </c>
      <c r="AX684" t="s">
        <v>74</v>
      </c>
      <c r="AY684" t="s">
        <v>74</v>
      </c>
      <c r="AZ684" t="s">
        <v>74</v>
      </c>
      <c r="BA684" t="s">
        <v>74</v>
      </c>
      <c r="BB684">
        <v>667</v>
      </c>
      <c r="BC684">
        <v>682</v>
      </c>
      <c r="BD684" t="s">
        <v>74</v>
      </c>
      <c r="BE684" t="s">
        <v>9294</v>
      </c>
      <c r="BF684" t="str">
        <f>HYPERLINK("http://dx.doi.org/10.1080/09593331908616723","http://dx.doi.org/10.1080/09593331908616723")</f>
        <v>http://dx.doi.org/10.1080/09593331908616723</v>
      </c>
      <c r="BG684" t="s">
        <v>74</v>
      </c>
      <c r="BH684" t="s">
        <v>74</v>
      </c>
      <c r="BI684">
        <v>16</v>
      </c>
      <c r="BJ684" t="s">
        <v>6255</v>
      </c>
      <c r="BK684" t="s">
        <v>95</v>
      </c>
      <c r="BL684" t="s">
        <v>661</v>
      </c>
      <c r="BM684" t="s">
        <v>9295</v>
      </c>
      <c r="BN684" t="s">
        <v>74</v>
      </c>
      <c r="BO684" t="s">
        <v>74</v>
      </c>
      <c r="BP684" t="s">
        <v>74</v>
      </c>
      <c r="BQ684" t="s">
        <v>74</v>
      </c>
      <c r="BR684" t="s">
        <v>98</v>
      </c>
      <c r="BS684" t="s">
        <v>9296</v>
      </c>
      <c r="BT684" t="str">
        <f>HYPERLINK("https%3A%2F%2Fwww.webofscience.com%2Fwos%2Fwoscc%2Ffull-record%2FWOS:000075483000002","View Full Record in Web of Science")</f>
        <v>View Full Record in Web of Science</v>
      </c>
    </row>
    <row r="685" spans="1:72" x14ac:dyDescent="0.15">
      <c r="A685" t="s">
        <v>72</v>
      </c>
      <c r="B685" t="s">
        <v>9297</v>
      </c>
      <c r="C685" t="s">
        <v>74</v>
      </c>
      <c r="D685" t="s">
        <v>74</v>
      </c>
      <c r="E685" t="s">
        <v>74</v>
      </c>
      <c r="F685" t="s">
        <v>9297</v>
      </c>
      <c r="G685" t="s">
        <v>74</v>
      </c>
      <c r="H685" t="s">
        <v>74</v>
      </c>
      <c r="I685" t="s">
        <v>9298</v>
      </c>
      <c r="J685" t="s">
        <v>858</v>
      </c>
      <c r="K685" t="s">
        <v>74</v>
      </c>
      <c r="L685" t="s">
        <v>74</v>
      </c>
      <c r="M685" t="s">
        <v>77</v>
      </c>
      <c r="N685" t="s">
        <v>103</v>
      </c>
      <c r="O685" t="s">
        <v>74</v>
      </c>
      <c r="P685" t="s">
        <v>74</v>
      </c>
      <c r="Q685" t="s">
        <v>74</v>
      </c>
      <c r="R685" t="s">
        <v>74</v>
      </c>
      <c r="S685" t="s">
        <v>74</v>
      </c>
      <c r="T685" t="s">
        <v>9299</v>
      </c>
      <c r="U685" t="s">
        <v>9300</v>
      </c>
      <c r="V685" t="s">
        <v>9301</v>
      </c>
      <c r="W685" t="s">
        <v>9302</v>
      </c>
      <c r="X685" t="s">
        <v>9303</v>
      </c>
      <c r="Y685" t="s">
        <v>9304</v>
      </c>
      <c r="Z685" t="s">
        <v>74</v>
      </c>
      <c r="AA685" t="s">
        <v>9305</v>
      </c>
      <c r="AB685" t="s">
        <v>9306</v>
      </c>
      <c r="AC685" t="s">
        <v>74</v>
      </c>
      <c r="AD685" t="s">
        <v>74</v>
      </c>
      <c r="AE685" t="s">
        <v>74</v>
      </c>
      <c r="AF685" t="s">
        <v>74</v>
      </c>
      <c r="AG685">
        <v>71</v>
      </c>
      <c r="AH685">
        <v>170</v>
      </c>
      <c r="AI685">
        <v>193</v>
      </c>
      <c r="AJ685">
        <v>0</v>
      </c>
      <c r="AK685">
        <v>40</v>
      </c>
      <c r="AL685" t="s">
        <v>805</v>
      </c>
      <c r="AM685" t="s">
        <v>866</v>
      </c>
      <c r="AN685" t="s">
        <v>867</v>
      </c>
      <c r="AO685" t="s">
        <v>868</v>
      </c>
      <c r="AP685" t="s">
        <v>74</v>
      </c>
      <c r="AQ685" t="s">
        <v>74</v>
      </c>
      <c r="AR685" t="s">
        <v>870</v>
      </c>
      <c r="AS685" t="s">
        <v>871</v>
      </c>
      <c r="AT685" t="s">
        <v>9154</v>
      </c>
      <c r="AU685">
        <v>1998</v>
      </c>
      <c r="AV685">
        <v>12</v>
      </c>
      <c r="AW685">
        <v>5</v>
      </c>
      <c r="AX685" t="s">
        <v>74</v>
      </c>
      <c r="AY685" t="s">
        <v>74</v>
      </c>
      <c r="AZ685" t="s">
        <v>74</v>
      </c>
      <c r="BA685" t="s">
        <v>74</v>
      </c>
      <c r="BB685">
        <v>503</v>
      </c>
      <c r="BC685">
        <v>522</v>
      </c>
      <c r="BD685" t="s">
        <v>74</v>
      </c>
      <c r="BE685" t="s">
        <v>9307</v>
      </c>
      <c r="BF685" t="str">
        <f>HYPERLINK("http://dx.doi.org/10.1023/A:1006574607845","http://dx.doi.org/10.1023/A:1006574607845")</f>
        <v>http://dx.doi.org/10.1023/A:1006574607845</v>
      </c>
      <c r="BG685" t="s">
        <v>74</v>
      </c>
      <c r="BH685" t="s">
        <v>74</v>
      </c>
      <c r="BI685">
        <v>20</v>
      </c>
      <c r="BJ685" t="s">
        <v>873</v>
      </c>
      <c r="BK685" t="s">
        <v>95</v>
      </c>
      <c r="BL685" t="s">
        <v>874</v>
      </c>
      <c r="BM685" t="s">
        <v>9308</v>
      </c>
      <c r="BN685" t="s">
        <v>74</v>
      </c>
      <c r="BO685" t="s">
        <v>74</v>
      </c>
      <c r="BP685" t="s">
        <v>74</v>
      </c>
      <c r="BQ685" t="s">
        <v>74</v>
      </c>
      <c r="BR685" t="s">
        <v>98</v>
      </c>
      <c r="BS685" t="s">
        <v>9309</v>
      </c>
      <c r="BT685" t="str">
        <f>HYPERLINK("https%3A%2F%2Fwww.webofscience.com%2Fwos%2Fwoscc%2Ffull-record%2FWOS:000075127900001","View Full Record in Web of Science")</f>
        <v>View Full Record in Web of Science</v>
      </c>
    </row>
    <row r="686" spans="1:72" x14ac:dyDescent="0.15">
      <c r="A686" t="s">
        <v>72</v>
      </c>
      <c r="B686" t="s">
        <v>9310</v>
      </c>
      <c r="C686" t="s">
        <v>74</v>
      </c>
      <c r="D686" t="s">
        <v>74</v>
      </c>
      <c r="E686" t="s">
        <v>74</v>
      </c>
      <c r="F686" t="s">
        <v>9310</v>
      </c>
      <c r="G686" t="s">
        <v>74</v>
      </c>
      <c r="H686" t="s">
        <v>74</v>
      </c>
      <c r="I686" t="s">
        <v>9311</v>
      </c>
      <c r="J686" t="s">
        <v>9312</v>
      </c>
      <c r="K686" t="s">
        <v>74</v>
      </c>
      <c r="L686" t="s">
        <v>74</v>
      </c>
      <c r="M686" t="s">
        <v>77</v>
      </c>
      <c r="N686" t="s">
        <v>123</v>
      </c>
      <c r="O686" t="s">
        <v>9313</v>
      </c>
      <c r="P686" t="s">
        <v>9314</v>
      </c>
      <c r="Q686" t="s">
        <v>9315</v>
      </c>
      <c r="R686" t="s">
        <v>74</v>
      </c>
      <c r="S686" t="s">
        <v>74</v>
      </c>
      <c r="T686" t="s">
        <v>74</v>
      </c>
      <c r="U686" t="s">
        <v>9316</v>
      </c>
      <c r="V686" t="s">
        <v>9317</v>
      </c>
      <c r="W686" t="s">
        <v>9318</v>
      </c>
      <c r="X686" t="s">
        <v>9319</v>
      </c>
      <c r="Y686" t="s">
        <v>9320</v>
      </c>
      <c r="Z686" t="s">
        <v>74</v>
      </c>
      <c r="AA686" t="s">
        <v>74</v>
      </c>
      <c r="AB686" t="s">
        <v>74</v>
      </c>
      <c r="AC686" t="s">
        <v>74</v>
      </c>
      <c r="AD686" t="s">
        <v>74</v>
      </c>
      <c r="AE686" t="s">
        <v>74</v>
      </c>
      <c r="AF686" t="s">
        <v>74</v>
      </c>
      <c r="AG686">
        <v>8</v>
      </c>
      <c r="AH686">
        <v>4</v>
      </c>
      <c r="AI686">
        <v>5</v>
      </c>
      <c r="AJ686">
        <v>0</v>
      </c>
      <c r="AK686">
        <v>2</v>
      </c>
      <c r="AL686" t="s">
        <v>887</v>
      </c>
      <c r="AM686" t="s">
        <v>278</v>
      </c>
      <c r="AN686" t="s">
        <v>888</v>
      </c>
      <c r="AO686" t="s">
        <v>9321</v>
      </c>
      <c r="AP686" t="s">
        <v>74</v>
      </c>
      <c r="AQ686" t="s">
        <v>74</v>
      </c>
      <c r="AR686" t="s">
        <v>9322</v>
      </c>
      <c r="AS686" t="s">
        <v>9323</v>
      </c>
      <c r="AT686" t="s">
        <v>9324</v>
      </c>
      <c r="AU686">
        <v>1998</v>
      </c>
      <c r="AV686">
        <v>361</v>
      </c>
      <c r="AW686" t="s">
        <v>549</v>
      </c>
      <c r="AX686" t="s">
        <v>74</v>
      </c>
      <c r="AY686" t="s">
        <v>74</v>
      </c>
      <c r="AZ686" t="s">
        <v>74</v>
      </c>
      <c r="BA686" t="s">
        <v>74</v>
      </c>
      <c r="BB686">
        <v>713</v>
      </c>
      <c r="BC686">
        <v>715</v>
      </c>
      <c r="BD686" t="s">
        <v>74</v>
      </c>
      <c r="BE686" t="s">
        <v>9325</v>
      </c>
      <c r="BF686" t="str">
        <f>HYPERLINK("http://dx.doi.org/10.1007/s002160051002","http://dx.doi.org/10.1007/s002160051002")</f>
        <v>http://dx.doi.org/10.1007/s002160051002</v>
      </c>
      <c r="BG686" t="s">
        <v>74</v>
      </c>
      <c r="BH686" t="s">
        <v>74</v>
      </c>
      <c r="BI686">
        <v>3</v>
      </c>
      <c r="BJ686" t="s">
        <v>3602</v>
      </c>
      <c r="BK686" t="s">
        <v>235</v>
      </c>
      <c r="BL686" t="s">
        <v>1284</v>
      </c>
      <c r="BM686" t="s">
        <v>9326</v>
      </c>
      <c r="BN686" t="s">
        <v>74</v>
      </c>
      <c r="BO686" t="s">
        <v>74</v>
      </c>
      <c r="BP686" t="s">
        <v>74</v>
      </c>
      <c r="BQ686" t="s">
        <v>74</v>
      </c>
      <c r="BR686" t="s">
        <v>98</v>
      </c>
      <c r="BS686" t="s">
        <v>9327</v>
      </c>
      <c r="BT686" t="str">
        <f>HYPERLINK("https%3A%2F%2Fwww.webofscience.com%2Fwos%2Fwoscc%2Ffull-record%2FWOS:000075606100066","View Full Record in Web of Science")</f>
        <v>View Full Record in Web of Science</v>
      </c>
    </row>
    <row r="687" spans="1:72" x14ac:dyDescent="0.15">
      <c r="A687" t="s">
        <v>72</v>
      </c>
      <c r="B687" t="s">
        <v>9328</v>
      </c>
      <c r="C687" t="s">
        <v>74</v>
      </c>
      <c r="D687" t="s">
        <v>74</v>
      </c>
      <c r="E687" t="s">
        <v>74</v>
      </c>
      <c r="F687" t="s">
        <v>9328</v>
      </c>
      <c r="G687" t="s">
        <v>74</v>
      </c>
      <c r="H687" t="s">
        <v>74</v>
      </c>
      <c r="I687" t="s">
        <v>9329</v>
      </c>
      <c r="J687" t="s">
        <v>941</v>
      </c>
      <c r="K687" t="s">
        <v>74</v>
      </c>
      <c r="L687" t="s">
        <v>74</v>
      </c>
      <c r="M687" t="s">
        <v>77</v>
      </c>
      <c r="N687" t="s">
        <v>103</v>
      </c>
      <c r="O687" t="s">
        <v>74</v>
      </c>
      <c r="P687" t="s">
        <v>74</v>
      </c>
      <c r="Q687" t="s">
        <v>74</v>
      </c>
      <c r="R687" t="s">
        <v>74</v>
      </c>
      <c r="S687" t="s">
        <v>74</v>
      </c>
      <c r="T687" t="s">
        <v>74</v>
      </c>
      <c r="U687" t="s">
        <v>9330</v>
      </c>
      <c r="V687" t="s">
        <v>9331</v>
      </c>
      <c r="W687" t="s">
        <v>9332</v>
      </c>
      <c r="X687" t="s">
        <v>9333</v>
      </c>
      <c r="Y687" t="s">
        <v>9334</v>
      </c>
      <c r="Z687" t="s">
        <v>74</v>
      </c>
      <c r="AA687" t="s">
        <v>9335</v>
      </c>
      <c r="AB687" t="s">
        <v>9336</v>
      </c>
      <c r="AC687" t="s">
        <v>74</v>
      </c>
      <c r="AD687" t="s">
        <v>74</v>
      </c>
      <c r="AE687" t="s">
        <v>74</v>
      </c>
      <c r="AF687" t="s">
        <v>74</v>
      </c>
      <c r="AG687">
        <v>69</v>
      </c>
      <c r="AH687">
        <v>9</v>
      </c>
      <c r="AI687">
        <v>9</v>
      </c>
      <c r="AJ687">
        <v>1</v>
      </c>
      <c r="AK687">
        <v>7</v>
      </c>
      <c r="AL687" t="s">
        <v>948</v>
      </c>
      <c r="AM687" t="s">
        <v>278</v>
      </c>
      <c r="AN687" t="s">
        <v>949</v>
      </c>
      <c r="AO687" t="s">
        <v>950</v>
      </c>
      <c r="AP687" t="s">
        <v>74</v>
      </c>
      <c r="AQ687" t="s">
        <v>74</v>
      </c>
      <c r="AR687" t="s">
        <v>951</v>
      </c>
      <c r="AS687" t="s">
        <v>952</v>
      </c>
      <c r="AT687" t="s">
        <v>9154</v>
      </c>
      <c r="AU687">
        <v>1998</v>
      </c>
      <c r="AV687">
        <v>135</v>
      </c>
      <c r="AW687">
        <v>4</v>
      </c>
      <c r="AX687" t="s">
        <v>74</v>
      </c>
      <c r="AY687" t="s">
        <v>74</v>
      </c>
      <c r="AZ687" t="s">
        <v>74</v>
      </c>
      <c r="BA687" t="s">
        <v>74</v>
      </c>
      <c r="BB687">
        <v>519</v>
      </c>
      <c r="BC687">
        <v>535</v>
      </c>
      <c r="BD687" t="s">
        <v>74</v>
      </c>
      <c r="BE687" t="s">
        <v>9337</v>
      </c>
      <c r="BF687" t="str">
        <f>HYPERLINK("http://dx.doi.org/10.1017/S0016756898001241","http://dx.doi.org/10.1017/S0016756898001241")</f>
        <v>http://dx.doi.org/10.1017/S0016756898001241</v>
      </c>
      <c r="BG687" t="s">
        <v>74</v>
      </c>
      <c r="BH687" t="s">
        <v>74</v>
      </c>
      <c r="BI687">
        <v>17</v>
      </c>
      <c r="BJ687" t="s">
        <v>192</v>
      </c>
      <c r="BK687" t="s">
        <v>95</v>
      </c>
      <c r="BL687" t="s">
        <v>193</v>
      </c>
      <c r="BM687" t="s">
        <v>9338</v>
      </c>
      <c r="BN687" t="s">
        <v>74</v>
      </c>
      <c r="BO687" t="s">
        <v>74</v>
      </c>
      <c r="BP687" t="s">
        <v>74</v>
      </c>
      <c r="BQ687" t="s">
        <v>74</v>
      </c>
      <c r="BR687" t="s">
        <v>98</v>
      </c>
      <c r="BS687" t="s">
        <v>9339</v>
      </c>
      <c r="BT687" t="str">
        <f>HYPERLINK("https%3A%2F%2Fwww.webofscience.com%2Fwos%2Fwoscc%2Ffull-record%2FWOS:000075167000006","View Full Record in Web of Science")</f>
        <v>View Full Record in Web of Science</v>
      </c>
    </row>
    <row r="688" spans="1:72" x14ac:dyDescent="0.15">
      <c r="A688" t="s">
        <v>72</v>
      </c>
      <c r="B688" t="s">
        <v>9340</v>
      </c>
      <c r="C688" t="s">
        <v>74</v>
      </c>
      <c r="D688" t="s">
        <v>74</v>
      </c>
      <c r="E688" t="s">
        <v>74</v>
      </c>
      <c r="F688" t="s">
        <v>9340</v>
      </c>
      <c r="G688" t="s">
        <v>74</v>
      </c>
      <c r="H688" t="s">
        <v>74</v>
      </c>
      <c r="I688" t="s">
        <v>9341</v>
      </c>
      <c r="J688" t="s">
        <v>5218</v>
      </c>
      <c r="K688" t="s">
        <v>74</v>
      </c>
      <c r="L688" t="s">
        <v>74</v>
      </c>
      <c r="M688" t="s">
        <v>77</v>
      </c>
      <c r="N688" t="s">
        <v>103</v>
      </c>
      <c r="O688" t="s">
        <v>74</v>
      </c>
      <c r="P688" t="s">
        <v>74</v>
      </c>
      <c r="Q688" t="s">
        <v>74</v>
      </c>
      <c r="R688" t="s">
        <v>74</v>
      </c>
      <c r="S688" t="s">
        <v>74</v>
      </c>
      <c r="T688" t="s">
        <v>74</v>
      </c>
      <c r="U688" t="s">
        <v>9342</v>
      </c>
      <c r="V688" t="s">
        <v>9343</v>
      </c>
      <c r="W688" t="s">
        <v>9344</v>
      </c>
      <c r="X688" t="s">
        <v>9345</v>
      </c>
      <c r="Y688" t="s">
        <v>9346</v>
      </c>
      <c r="Z688" t="s">
        <v>74</v>
      </c>
      <c r="AA688" t="s">
        <v>9347</v>
      </c>
      <c r="AB688" t="s">
        <v>9348</v>
      </c>
      <c r="AC688" t="s">
        <v>74</v>
      </c>
      <c r="AD688" t="s">
        <v>74</v>
      </c>
      <c r="AE688" t="s">
        <v>74</v>
      </c>
      <c r="AF688" t="s">
        <v>74</v>
      </c>
      <c r="AG688">
        <v>24</v>
      </c>
      <c r="AH688">
        <v>41</v>
      </c>
      <c r="AI688">
        <v>42</v>
      </c>
      <c r="AJ688">
        <v>0</v>
      </c>
      <c r="AK688">
        <v>3</v>
      </c>
      <c r="AL688" t="s">
        <v>5221</v>
      </c>
      <c r="AM688" t="s">
        <v>5222</v>
      </c>
      <c r="AN688" t="s">
        <v>5223</v>
      </c>
      <c r="AO688" t="s">
        <v>5224</v>
      </c>
      <c r="AP688" t="s">
        <v>74</v>
      </c>
      <c r="AQ688" t="s">
        <v>74</v>
      </c>
      <c r="AR688" t="s">
        <v>5218</v>
      </c>
      <c r="AS688" t="s">
        <v>193</v>
      </c>
      <c r="AT688" t="s">
        <v>9154</v>
      </c>
      <c r="AU688">
        <v>1998</v>
      </c>
      <c r="AV688">
        <v>26</v>
      </c>
      <c r="AW688">
        <v>7</v>
      </c>
      <c r="AX688" t="s">
        <v>74</v>
      </c>
      <c r="AY688" t="s">
        <v>74</v>
      </c>
      <c r="AZ688" t="s">
        <v>74</v>
      </c>
      <c r="BA688" t="s">
        <v>74</v>
      </c>
      <c r="BB688">
        <v>607</v>
      </c>
      <c r="BC688">
        <v>610</v>
      </c>
      <c r="BD688" t="s">
        <v>74</v>
      </c>
      <c r="BE688" t="s">
        <v>9349</v>
      </c>
      <c r="BF688" t="str">
        <f>HYPERLINK("http://dx.doi.org/10.1130/0091-7613(1998)026&lt;0607:MERIAI&gt;2.3.CO;2","http://dx.doi.org/10.1130/0091-7613(1998)026&lt;0607:MERIAI&gt;2.3.CO;2")</f>
        <v>http://dx.doi.org/10.1130/0091-7613(1998)026&lt;0607:MERIAI&gt;2.3.CO;2</v>
      </c>
      <c r="BG688" t="s">
        <v>74</v>
      </c>
      <c r="BH688" t="s">
        <v>74</v>
      </c>
      <c r="BI688">
        <v>4</v>
      </c>
      <c r="BJ688" t="s">
        <v>193</v>
      </c>
      <c r="BK688" t="s">
        <v>95</v>
      </c>
      <c r="BL688" t="s">
        <v>193</v>
      </c>
      <c r="BM688" t="s">
        <v>9350</v>
      </c>
      <c r="BN688" t="s">
        <v>74</v>
      </c>
      <c r="BO688" t="s">
        <v>74</v>
      </c>
      <c r="BP688" t="s">
        <v>74</v>
      </c>
      <c r="BQ688" t="s">
        <v>74</v>
      </c>
      <c r="BR688" t="s">
        <v>98</v>
      </c>
      <c r="BS688" t="s">
        <v>9351</v>
      </c>
      <c r="BT688" t="str">
        <f>HYPERLINK("https%3A%2F%2Fwww.webofscience.com%2Fwos%2Fwoscc%2Ffull-record%2FWOS:000074795000008","View Full Record in Web of Science")</f>
        <v>View Full Record in Web of Science</v>
      </c>
    </row>
    <row r="689" spans="1:72" x14ac:dyDescent="0.15">
      <c r="A689" t="s">
        <v>72</v>
      </c>
      <c r="B689" t="s">
        <v>9352</v>
      </c>
      <c r="C689" t="s">
        <v>74</v>
      </c>
      <c r="D689" t="s">
        <v>74</v>
      </c>
      <c r="E689" t="s">
        <v>74</v>
      </c>
      <c r="F689" t="s">
        <v>9352</v>
      </c>
      <c r="G689" t="s">
        <v>74</v>
      </c>
      <c r="H689" t="s">
        <v>74</v>
      </c>
      <c r="I689" t="s">
        <v>9353</v>
      </c>
      <c r="J689" t="s">
        <v>958</v>
      </c>
      <c r="K689" t="s">
        <v>74</v>
      </c>
      <c r="L689" t="s">
        <v>74</v>
      </c>
      <c r="M689" t="s">
        <v>77</v>
      </c>
      <c r="N689" t="s">
        <v>103</v>
      </c>
      <c r="O689" t="s">
        <v>74</v>
      </c>
      <c r="P689" t="s">
        <v>74</v>
      </c>
      <c r="Q689" t="s">
        <v>74</v>
      </c>
      <c r="R689" t="s">
        <v>74</v>
      </c>
      <c r="S689" t="s">
        <v>74</v>
      </c>
      <c r="T689" t="s">
        <v>74</v>
      </c>
      <c r="U689" t="s">
        <v>9354</v>
      </c>
      <c r="V689" t="s">
        <v>9355</v>
      </c>
      <c r="W689" t="s">
        <v>9356</v>
      </c>
      <c r="X689" t="s">
        <v>9357</v>
      </c>
      <c r="Y689" t="s">
        <v>9358</v>
      </c>
      <c r="Z689" t="s">
        <v>9359</v>
      </c>
      <c r="AA689" t="s">
        <v>9360</v>
      </c>
      <c r="AB689" t="s">
        <v>9361</v>
      </c>
      <c r="AC689" t="s">
        <v>74</v>
      </c>
      <c r="AD689" t="s">
        <v>74</v>
      </c>
      <c r="AE689" t="s">
        <v>74</v>
      </c>
      <c r="AF689" t="s">
        <v>74</v>
      </c>
      <c r="AG689">
        <v>19</v>
      </c>
      <c r="AH689">
        <v>72</v>
      </c>
      <c r="AI689">
        <v>80</v>
      </c>
      <c r="AJ689">
        <v>1</v>
      </c>
      <c r="AK689">
        <v>16</v>
      </c>
      <c r="AL689" t="s">
        <v>966</v>
      </c>
      <c r="AM689" t="s">
        <v>967</v>
      </c>
      <c r="AN689" t="s">
        <v>968</v>
      </c>
      <c r="AO689" t="s">
        <v>969</v>
      </c>
      <c r="AP689" t="s">
        <v>74</v>
      </c>
      <c r="AQ689" t="s">
        <v>74</v>
      </c>
      <c r="AR689" t="s">
        <v>970</v>
      </c>
      <c r="AS689" t="s">
        <v>971</v>
      </c>
      <c r="AT689" t="s">
        <v>9362</v>
      </c>
      <c r="AU689">
        <v>1998</v>
      </c>
      <c r="AV689">
        <v>25</v>
      </c>
      <c r="AW689">
        <v>13</v>
      </c>
      <c r="AX689" t="s">
        <v>74</v>
      </c>
      <c r="AY689" t="s">
        <v>74</v>
      </c>
      <c r="AZ689" t="s">
        <v>74</v>
      </c>
      <c r="BA689" t="s">
        <v>74</v>
      </c>
      <c r="BB689">
        <v>2281</v>
      </c>
      <c r="BC689">
        <v>2284</v>
      </c>
      <c r="BD689" t="s">
        <v>74</v>
      </c>
      <c r="BE689" t="s">
        <v>9363</v>
      </c>
      <c r="BF689" t="str">
        <f>HYPERLINK("http://dx.doi.org/10.1029/98GL51811","http://dx.doi.org/10.1029/98GL51811")</f>
        <v>http://dx.doi.org/10.1029/98GL51811</v>
      </c>
      <c r="BG689" t="s">
        <v>74</v>
      </c>
      <c r="BH689" t="s">
        <v>74</v>
      </c>
      <c r="BI689">
        <v>4</v>
      </c>
      <c r="BJ689" t="s">
        <v>192</v>
      </c>
      <c r="BK689" t="s">
        <v>95</v>
      </c>
      <c r="BL689" t="s">
        <v>193</v>
      </c>
      <c r="BM689" t="s">
        <v>9364</v>
      </c>
      <c r="BN689" t="s">
        <v>74</v>
      </c>
      <c r="BO689" t="s">
        <v>1089</v>
      </c>
      <c r="BP689" t="s">
        <v>74</v>
      </c>
      <c r="BQ689" t="s">
        <v>74</v>
      </c>
      <c r="BR689" t="s">
        <v>98</v>
      </c>
      <c r="BS689" t="s">
        <v>9365</v>
      </c>
      <c r="BT689" t="str">
        <f>HYPERLINK("https%3A%2F%2Fwww.webofscience.com%2Fwos%2Fwoscc%2Ffull-record%2FWOS:000074700200009","View Full Record in Web of Science")</f>
        <v>View Full Record in Web of Science</v>
      </c>
    </row>
    <row r="690" spans="1:72" x14ac:dyDescent="0.15">
      <c r="A690" t="s">
        <v>72</v>
      </c>
      <c r="B690" t="s">
        <v>9366</v>
      </c>
      <c r="C690" t="s">
        <v>74</v>
      </c>
      <c r="D690" t="s">
        <v>74</v>
      </c>
      <c r="E690" t="s">
        <v>74</v>
      </c>
      <c r="F690" t="s">
        <v>9366</v>
      </c>
      <c r="G690" t="s">
        <v>74</v>
      </c>
      <c r="H690" t="s">
        <v>74</v>
      </c>
      <c r="I690" t="s">
        <v>9367</v>
      </c>
      <c r="J690" t="s">
        <v>958</v>
      </c>
      <c r="K690" t="s">
        <v>74</v>
      </c>
      <c r="L690" t="s">
        <v>74</v>
      </c>
      <c r="M690" t="s">
        <v>77</v>
      </c>
      <c r="N690" t="s">
        <v>103</v>
      </c>
      <c r="O690" t="s">
        <v>74</v>
      </c>
      <c r="P690" t="s">
        <v>74</v>
      </c>
      <c r="Q690" t="s">
        <v>74</v>
      </c>
      <c r="R690" t="s">
        <v>74</v>
      </c>
      <c r="S690" t="s">
        <v>74</v>
      </c>
      <c r="T690" t="s">
        <v>74</v>
      </c>
      <c r="U690" t="s">
        <v>9368</v>
      </c>
      <c r="V690" t="s">
        <v>9369</v>
      </c>
      <c r="W690" t="s">
        <v>9370</v>
      </c>
      <c r="X690" t="s">
        <v>9371</v>
      </c>
      <c r="Y690" t="s">
        <v>9372</v>
      </c>
      <c r="Z690" t="s">
        <v>9373</v>
      </c>
      <c r="AA690" t="s">
        <v>74</v>
      </c>
      <c r="AB690" t="s">
        <v>74</v>
      </c>
      <c r="AC690" t="s">
        <v>74</v>
      </c>
      <c r="AD690" t="s">
        <v>74</v>
      </c>
      <c r="AE690" t="s">
        <v>74</v>
      </c>
      <c r="AF690" t="s">
        <v>74</v>
      </c>
      <c r="AG690">
        <v>23</v>
      </c>
      <c r="AH690">
        <v>9</v>
      </c>
      <c r="AI690">
        <v>9</v>
      </c>
      <c r="AJ690">
        <v>0</v>
      </c>
      <c r="AK690">
        <v>1</v>
      </c>
      <c r="AL690" t="s">
        <v>966</v>
      </c>
      <c r="AM690" t="s">
        <v>967</v>
      </c>
      <c r="AN690" t="s">
        <v>968</v>
      </c>
      <c r="AO690" t="s">
        <v>969</v>
      </c>
      <c r="AP690" t="s">
        <v>5234</v>
      </c>
      <c r="AQ690" t="s">
        <v>74</v>
      </c>
      <c r="AR690" t="s">
        <v>970</v>
      </c>
      <c r="AS690" t="s">
        <v>971</v>
      </c>
      <c r="AT690" t="s">
        <v>9362</v>
      </c>
      <c r="AU690">
        <v>1998</v>
      </c>
      <c r="AV690">
        <v>25</v>
      </c>
      <c r="AW690">
        <v>13</v>
      </c>
      <c r="AX690" t="s">
        <v>74</v>
      </c>
      <c r="AY690" t="s">
        <v>74</v>
      </c>
      <c r="AZ690" t="s">
        <v>74</v>
      </c>
      <c r="BA690" t="s">
        <v>74</v>
      </c>
      <c r="BB690">
        <v>2357</v>
      </c>
      <c r="BC690">
        <v>2360</v>
      </c>
      <c r="BD690" t="s">
        <v>74</v>
      </c>
      <c r="BE690" t="s">
        <v>9374</v>
      </c>
      <c r="BF690" t="str">
        <f>HYPERLINK("http://dx.doi.org/10.1029/98GL01650","http://dx.doi.org/10.1029/98GL01650")</f>
        <v>http://dx.doi.org/10.1029/98GL01650</v>
      </c>
      <c r="BG690" t="s">
        <v>74</v>
      </c>
      <c r="BH690" t="s">
        <v>74</v>
      </c>
      <c r="BI690">
        <v>4</v>
      </c>
      <c r="BJ690" t="s">
        <v>192</v>
      </c>
      <c r="BK690" t="s">
        <v>95</v>
      </c>
      <c r="BL690" t="s">
        <v>193</v>
      </c>
      <c r="BM690" t="s">
        <v>9364</v>
      </c>
      <c r="BN690" t="s">
        <v>74</v>
      </c>
      <c r="BO690" t="s">
        <v>1089</v>
      </c>
      <c r="BP690" t="s">
        <v>74</v>
      </c>
      <c r="BQ690" t="s">
        <v>74</v>
      </c>
      <c r="BR690" t="s">
        <v>98</v>
      </c>
      <c r="BS690" t="s">
        <v>9375</v>
      </c>
      <c r="BT690" t="str">
        <f>HYPERLINK("https%3A%2F%2Fwww.webofscience.com%2Fwos%2Fwoscc%2Ffull-record%2FWOS:000074700200029","View Full Record in Web of Science")</f>
        <v>View Full Record in Web of Science</v>
      </c>
    </row>
    <row r="691" spans="1:72" x14ac:dyDescent="0.15">
      <c r="A691" t="s">
        <v>72</v>
      </c>
      <c r="B691" t="s">
        <v>9376</v>
      </c>
      <c r="C691" t="s">
        <v>74</v>
      </c>
      <c r="D691" t="s">
        <v>74</v>
      </c>
      <c r="E691" t="s">
        <v>74</v>
      </c>
      <c r="F691" t="s">
        <v>9376</v>
      </c>
      <c r="G691" t="s">
        <v>74</v>
      </c>
      <c r="H691" t="s">
        <v>74</v>
      </c>
      <c r="I691" t="s">
        <v>9377</v>
      </c>
      <c r="J691" t="s">
        <v>958</v>
      </c>
      <c r="K691" t="s">
        <v>74</v>
      </c>
      <c r="L691" t="s">
        <v>74</v>
      </c>
      <c r="M691" t="s">
        <v>77</v>
      </c>
      <c r="N691" t="s">
        <v>103</v>
      </c>
      <c r="O691" t="s">
        <v>74</v>
      </c>
      <c r="P691" t="s">
        <v>74</v>
      </c>
      <c r="Q691" t="s">
        <v>74</v>
      </c>
      <c r="R691" t="s">
        <v>74</v>
      </c>
      <c r="S691" t="s">
        <v>74</v>
      </c>
      <c r="T691" t="s">
        <v>74</v>
      </c>
      <c r="U691" t="s">
        <v>9378</v>
      </c>
      <c r="V691" t="s">
        <v>9379</v>
      </c>
      <c r="W691" t="s">
        <v>9380</v>
      </c>
      <c r="X691" t="s">
        <v>9381</v>
      </c>
      <c r="Y691" t="s">
        <v>9382</v>
      </c>
      <c r="Z691" t="s">
        <v>74</v>
      </c>
      <c r="AA691" t="s">
        <v>74</v>
      </c>
      <c r="AB691" t="s">
        <v>74</v>
      </c>
      <c r="AC691" t="s">
        <v>74</v>
      </c>
      <c r="AD691" t="s">
        <v>74</v>
      </c>
      <c r="AE691" t="s">
        <v>74</v>
      </c>
      <c r="AF691" t="s">
        <v>74</v>
      </c>
      <c r="AG691">
        <v>21</v>
      </c>
      <c r="AH691">
        <v>13</v>
      </c>
      <c r="AI691">
        <v>13</v>
      </c>
      <c r="AJ691">
        <v>0</v>
      </c>
      <c r="AK691">
        <v>0</v>
      </c>
      <c r="AL691" t="s">
        <v>966</v>
      </c>
      <c r="AM691" t="s">
        <v>967</v>
      </c>
      <c r="AN691" t="s">
        <v>968</v>
      </c>
      <c r="AO691" t="s">
        <v>969</v>
      </c>
      <c r="AP691" t="s">
        <v>74</v>
      </c>
      <c r="AQ691" t="s">
        <v>74</v>
      </c>
      <c r="AR691" t="s">
        <v>970</v>
      </c>
      <c r="AS691" t="s">
        <v>971</v>
      </c>
      <c r="AT691" t="s">
        <v>9362</v>
      </c>
      <c r="AU691">
        <v>1998</v>
      </c>
      <c r="AV691">
        <v>25</v>
      </c>
      <c r="AW691">
        <v>13</v>
      </c>
      <c r="AX691" t="s">
        <v>74</v>
      </c>
      <c r="AY691" t="s">
        <v>74</v>
      </c>
      <c r="AZ691" t="s">
        <v>74</v>
      </c>
      <c r="BA691" t="s">
        <v>74</v>
      </c>
      <c r="BB691">
        <v>2381</v>
      </c>
      <c r="BC691">
        <v>2384</v>
      </c>
      <c r="BD691" t="s">
        <v>74</v>
      </c>
      <c r="BE691" t="s">
        <v>9383</v>
      </c>
      <c r="BF691" t="str">
        <f>HYPERLINK("http://dx.doi.org/10.1029/98GL01718","http://dx.doi.org/10.1029/98GL01718")</f>
        <v>http://dx.doi.org/10.1029/98GL01718</v>
      </c>
      <c r="BG691" t="s">
        <v>74</v>
      </c>
      <c r="BH691" t="s">
        <v>74</v>
      </c>
      <c r="BI691">
        <v>4</v>
      </c>
      <c r="BJ691" t="s">
        <v>192</v>
      </c>
      <c r="BK691" t="s">
        <v>95</v>
      </c>
      <c r="BL691" t="s">
        <v>193</v>
      </c>
      <c r="BM691" t="s">
        <v>9364</v>
      </c>
      <c r="BN691" t="s">
        <v>74</v>
      </c>
      <c r="BO691" t="s">
        <v>74</v>
      </c>
      <c r="BP691" t="s">
        <v>74</v>
      </c>
      <c r="BQ691" t="s">
        <v>74</v>
      </c>
      <c r="BR691" t="s">
        <v>98</v>
      </c>
      <c r="BS691" t="s">
        <v>9384</v>
      </c>
      <c r="BT691" t="str">
        <f>HYPERLINK("https%3A%2F%2Fwww.webofscience.com%2Fwos%2Fwoscc%2Ffull-record%2FWOS:000074700200035","View Full Record in Web of Science")</f>
        <v>View Full Record in Web of Science</v>
      </c>
    </row>
    <row r="692" spans="1:72" x14ac:dyDescent="0.15">
      <c r="A692" t="s">
        <v>72</v>
      </c>
      <c r="B692" t="s">
        <v>9385</v>
      </c>
      <c r="C692" t="s">
        <v>74</v>
      </c>
      <c r="D692" t="s">
        <v>74</v>
      </c>
      <c r="E692" t="s">
        <v>74</v>
      </c>
      <c r="F692" t="s">
        <v>9385</v>
      </c>
      <c r="G692" t="s">
        <v>74</v>
      </c>
      <c r="H692" t="s">
        <v>74</v>
      </c>
      <c r="I692" t="s">
        <v>9386</v>
      </c>
      <c r="J692" t="s">
        <v>958</v>
      </c>
      <c r="K692" t="s">
        <v>74</v>
      </c>
      <c r="L692" t="s">
        <v>74</v>
      </c>
      <c r="M692" t="s">
        <v>77</v>
      </c>
      <c r="N692" t="s">
        <v>103</v>
      </c>
      <c r="O692" t="s">
        <v>74</v>
      </c>
      <c r="P692" t="s">
        <v>74</v>
      </c>
      <c r="Q692" t="s">
        <v>74</v>
      </c>
      <c r="R692" t="s">
        <v>74</v>
      </c>
      <c r="S692" t="s">
        <v>74</v>
      </c>
      <c r="T692" t="s">
        <v>74</v>
      </c>
      <c r="U692" t="s">
        <v>9387</v>
      </c>
      <c r="V692" t="s">
        <v>9388</v>
      </c>
      <c r="W692" t="s">
        <v>9389</v>
      </c>
      <c r="X692" t="s">
        <v>9390</v>
      </c>
      <c r="Y692" t="s">
        <v>9391</v>
      </c>
      <c r="Z692" t="s">
        <v>74</v>
      </c>
      <c r="AA692" t="s">
        <v>9392</v>
      </c>
      <c r="AB692" t="s">
        <v>9393</v>
      </c>
      <c r="AC692" t="s">
        <v>74</v>
      </c>
      <c r="AD692" t="s">
        <v>74</v>
      </c>
      <c r="AE692" t="s">
        <v>74</v>
      </c>
      <c r="AF692" t="s">
        <v>74</v>
      </c>
      <c r="AG692">
        <v>15</v>
      </c>
      <c r="AH692">
        <v>5</v>
      </c>
      <c r="AI692">
        <v>5</v>
      </c>
      <c r="AJ692">
        <v>0</v>
      </c>
      <c r="AK692">
        <v>1</v>
      </c>
      <c r="AL692" t="s">
        <v>966</v>
      </c>
      <c r="AM692" t="s">
        <v>967</v>
      </c>
      <c r="AN692" t="s">
        <v>968</v>
      </c>
      <c r="AO692" t="s">
        <v>969</v>
      </c>
      <c r="AP692" t="s">
        <v>74</v>
      </c>
      <c r="AQ692" t="s">
        <v>74</v>
      </c>
      <c r="AR692" t="s">
        <v>970</v>
      </c>
      <c r="AS692" t="s">
        <v>971</v>
      </c>
      <c r="AT692" t="s">
        <v>9362</v>
      </c>
      <c r="AU692">
        <v>1998</v>
      </c>
      <c r="AV692">
        <v>25</v>
      </c>
      <c r="AW692">
        <v>13</v>
      </c>
      <c r="AX692" t="s">
        <v>74</v>
      </c>
      <c r="AY692" t="s">
        <v>74</v>
      </c>
      <c r="AZ692" t="s">
        <v>74</v>
      </c>
      <c r="BA692" t="s">
        <v>74</v>
      </c>
      <c r="BB692">
        <v>2421</v>
      </c>
      <c r="BC692">
        <v>2424</v>
      </c>
      <c r="BD692" t="s">
        <v>74</v>
      </c>
      <c r="BE692" t="s">
        <v>9394</v>
      </c>
      <c r="BF692" t="str">
        <f>HYPERLINK("http://dx.doi.org/10.1029/98GL51868","http://dx.doi.org/10.1029/98GL51868")</f>
        <v>http://dx.doi.org/10.1029/98GL51868</v>
      </c>
      <c r="BG692" t="s">
        <v>74</v>
      </c>
      <c r="BH692" t="s">
        <v>74</v>
      </c>
      <c r="BI692">
        <v>4</v>
      </c>
      <c r="BJ692" t="s">
        <v>192</v>
      </c>
      <c r="BK692" t="s">
        <v>95</v>
      </c>
      <c r="BL692" t="s">
        <v>193</v>
      </c>
      <c r="BM692" t="s">
        <v>9364</v>
      </c>
      <c r="BN692" t="s">
        <v>74</v>
      </c>
      <c r="BO692" t="s">
        <v>1089</v>
      </c>
      <c r="BP692" t="s">
        <v>74</v>
      </c>
      <c r="BQ692" t="s">
        <v>74</v>
      </c>
      <c r="BR692" t="s">
        <v>98</v>
      </c>
      <c r="BS692" t="s">
        <v>9395</v>
      </c>
      <c r="BT692" t="str">
        <f>HYPERLINK("https%3A%2F%2Fwww.webofscience.com%2Fwos%2Fwoscc%2Ffull-record%2FWOS:000074700200045","View Full Record in Web of Science")</f>
        <v>View Full Record in Web of Science</v>
      </c>
    </row>
    <row r="693" spans="1:72" x14ac:dyDescent="0.15">
      <c r="A693" t="s">
        <v>72</v>
      </c>
      <c r="B693" t="s">
        <v>9396</v>
      </c>
      <c r="C693" t="s">
        <v>74</v>
      </c>
      <c r="D693" t="s">
        <v>74</v>
      </c>
      <c r="E693" t="s">
        <v>74</v>
      </c>
      <c r="F693" t="s">
        <v>9396</v>
      </c>
      <c r="G693" t="s">
        <v>74</v>
      </c>
      <c r="H693" t="s">
        <v>74</v>
      </c>
      <c r="I693" t="s">
        <v>9397</v>
      </c>
      <c r="J693" t="s">
        <v>958</v>
      </c>
      <c r="K693" t="s">
        <v>74</v>
      </c>
      <c r="L693" t="s">
        <v>74</v>
      </c>
      <c r="M693" t="s">
        <v>77</v>
      </c>
      <c r="N693" t="s">
        <v>103</v>
      </c>
      <c r="O693" t="s">
        <v>74</v>
      </c>
      <c r="P693" t="s">
        <v>74</v>
      </c>
      <c r="Q693" t="s">
        <v>74</v>
      </c>
      <c r="R693" t="s">
        <v>74</v>
      </c>
      <c r="S693" t="s">
        <v>74</v>
      </c>
      <c r="T693" t="s">
        <v>74</v>
      </c>
      <c r="U693" t="s">
        <v>9398</v>
      </c>
      <c r="V693" t="s">
        <v>9399</v>
      </c>
      <c r="W693" t="s">
        <v>1437</v>
      </c>
      <c r="X693" t="s">
        <v>628</v>
      </c>
      <c r="Y693" t="s">
        <v>545</v>
      </c>
      <c r="Z693" t="s">
        <v>9400</v>
      </c>
      <c r="AA693" t="s">
        <v>74</v>
      </c>
      <c r="AB693" t="s">
        <v>74</v>
      </c>
      <c r="AC693" t="s">
        <v>74</v>
      </c>
      <c r="AD693" t="s">
        <v>74</v>
      </c>
      <c r="AE693" t="s">
        <v>74</v>
      </c>
      <c r="AF693" t="s">
        <v>74</v>
      </c>
      <c r="AG693">
        <v>24</v>
      </c>
      <c r="AH693">
        <v>60</v>
      </c>
      <c r="AI693">
        <v>64</v>
      </c>
      <c r="AJ693">
        <v>0</v>
      </c>
      <c r="AK693">
        <v>15</v>
      </c>
      <c r="AL693" t="s">
        <v>966</v>
      </c>
      <c r="AM693" t="s">
        <v>967</v>
      </c>
      <c r="AN693" t="s">
        <v>968</v>
      </c>
      <c r="AO693" t="s">
        <v>969</v>
      </c>
      <c r="AP693" t="s">
        <v>5234</v>
      </c>
      <c r="AQ693" t="s">
        <v>74</v>
      </c>
      <c r="AR693" t="s">
        <v>970</v>
      </c>
      <c r="AS693" t="s">
        <v>971</v>
      </c>
      <c r="AT693" t="s">
        <v>9362</v>
      </c>
      <c r="AU693">
        <v>1998</v>
      </c>
      <c r="AV693">
        <v>25</v>
      </c>
      <c r="AW693">
        <v>13</v>
      </c>
      <c r="AX693" t="s">
        <v>74</v>
      </c>
      <c r="AY693" t="s">
        <v>74</v>
      </c>
      <c r="AZ693" t="s">
        <v>74</v>
      </c>
      <c r="BA693" t="s">
        <v>74</v>
      </c>
      <c r="BB693">
        <v>2437</v>
      </c>
      <c r="BC693">
        <v>2440</v>
      </c>
      <c r="BD693" t="s">
        <v>74</v>
      </c>
      <c r="BE693" t="s">
        <v>9401</v>
      </c>
      <c r="BF693" t="str">
        <f>HYPERLINK("http://dx.doi.org/10.1029/98GL01651","http://dx.doi.org/10.1029/98GL01651")</f>
        <v>http://dx.doi.org/10.1029/98GL01651</v>
      </c>
      <c r="BG693" t="s">
        <v>74</v>
      </c>
      <c r="BH693" t="s">
        <v>74</v>
      </c>
      <c r="BI693">
        <v>4</v>
      </c>
      <c r="BJ693" t="s">
        <v>192</v>
      </c>
      <c r="BK693" t="s">
        <v>95</v>
      </c>
      <c r="BL693" t="s">
        <v>193</v>
      </c>
      <c r="BM693" t="s">
        <v>9364</v>
      </c>
      <c r="BN693" t="s">
        <v>74</v>
      </c>
      <c r="BO693" t="s">
        <v>1089</v>
      </c>
      <c r="BP693" t="s">
        <v>74</v>
      </c>
      <c r="BQ693" t="s">
        <v>74</v>
      </c>
      <c r="BR693" t="s">
        <v>98</v>
      </c>
      <c r="BS693" t="s">
        <v>9402</v>
      </c>
      <c r="BT693" t="str">
        <f>HYPERLINK("https%3A%2F%2Fwww.webofscience.com%2Fwos%2Fwoscc%2Ffull-record%2FWOS:000074700200049","View Full Record in Web of Science")</f>
        <v>View Full Record in Web of Science</v>
      </c>
    </row>
    <row r="694" spans="1:72" x14ac:dyDescent="0.15">
      <c r="A694" t="s">
        <v>72</v>
      </c>
      <c r="B694" t="s">
        <v>9403</v>
      </c>
      <c r="C694" t="s">
        <v>74</v>
      </c>
      <c r="D694" t="s">
        <v>74</v>
      </c>
      <c r="E694" t="s">
        <v>74</v>
      </c>
      <c r="F694" t="s">
        <v>9403</v>
      </c>
      <c r="G694" t="s">
        <v>74</v>
      </c>
      <c r="H694" t="s">
        <v>74</v>
      </c>
      <c r="I694" t="s">
        <v>9404</v>
      </c>
      <c r="J694" t="s">
        <v>9405</v>
      </c>
      <c r="K694" t="s">
        <v>74</v>
      </c>
      <c r="L694" t="s">
        <v>74</v>
      </c>
      <c r="M694" t="s">
        <v>77</v>
      </c>
      <c r="N694" t="s">
        <v>103</v>
      </c>
      <c r="O694" t="s">
        <v>74</v>
      </c>
      <c r="P694" t="s">
        <v>74</v>
      </c>
      <c r="Q694" t="s">
        <v>74</v>
      </c>
      <c r="R694" t="s">
        <v>74</v>
      </c>
      <c r="S694" t="s">
        <v>74</v>
      </c>
      <c r="T694" t="s">
        <v>74</v>
      </c>
      <c r="U694" t="s">
        <v>9406</v>
      </c>
      <c r="V694" t="s">
        <v>9407</v>
      </c>
      <c r="W694" t="s">
        <v>9408</v>
      </c>
      <c r="X694" t="s">
        <v>6065</v>
      </c>
      <c r="Y694" t="s">
        <v>9409</v>
      </c>
      <c r="Z694" t="s">
        <v>74</v>
      </c>
      <c r="AA694" t="s">
        <v>74</v>
      </c>
      <c r="AB694" t="s">
        <v>9410</v>
      </c>
      <c r="AC694" t="s">
        <v>74</v>
      </c>
      <c r="AD694" t="s">
        <v>74</v>
      </c>
      <c r="AE694" t="s">
        <v>74</v>
      </c>
      <c r="AF694" t="s">
        <v>74</v>
      </c>
      <c r="AG694">
        <v>43</v>
      </c>
      <c r="AH694">
        <v>88</v>
      </c>
      <c r="AI694">
        <v>100</v>
      </c>
      <c r="AJ694">
        <v>1</v>
      </c>
      <c r="AK694">
        <v>29</v>
      </c>
      <c r="AL694" t="s">
        <v>9411</v>
      </c>
      <c r="AM694" t="s">
        <v>9412</v>
      </c>
      <c r="AN694" t="s">
        <v>9413</v>
      </c>
      <c r="AO694" t="s">
        <v>9414</v>
      </c>
      <c r="AP694" t="s">
        <v>74</v>
      </c>
      <c r="AQ694" t="s">
        <v>74</v>
      </c>
      <c r="AR694" t="s">
        <v>9405</v>
      </c>
      <c r="AS694" t="s">
        <v>9415</v>
      </c>
      <c r="AT694" t="s">
        <v>9154</v>
      </c>
      <c r="AU694">
        <v>1998</v>
      </c>
      <c r="AV694">
        <v>140</v>
      </c>
      <c r="AW694">
        <v>3</v>
      </c>
      <c r="AX694" t="s">
        <v>74</v>
      </c>
      <c r="AY694" t="s">
        <v>74</v>
      </c>
      <c r="AZ694" t="s">
        <v>74</v>
      </c>
      <c r="BA694" t="s">
        <v>74</v>
      </c>
      <c r="BB694">
        <v>446</v>
      </c>
      <c r="BC694">
        <v>457</v>
      </c>
      <c r="BD694" t="s">
        <v>74</v>
      </c>
      <c r="BE694" t="s">
        <v>9416</v>
      </c>
      <c r="BF694" t="str">
        <f>HYPERLINK("http://dx.doi.org/10.1111/j.1474-919X.1998.tb04606.x","http://dx.doi.org/10.1111/j.1474-919X.1998.tb04606.x")</f>
        <v>http://dx.doi.org/10.1111/j.1474-919X.1998.tb04606.x</v>
      </c>
      <c r="BG694" t="s">
        <v>74</v>
      </c>
      <c r="BH694" t="s">
        <v>74</v>
      </c>
      <c r="BI694">
        <v>12</v>
      </c>
      <c r="BJ694" t="s">
        <v>3526</v>
      </c>
      <c r="BK694" t="s">
        <v>95</v>
      </c>
      <c r="BL694" t="s">
        <v>117</v>
      </c>
      <c r="BM694" t="s">
        <v>9417</v>
      </c>
      <c r="BN694" t="s">
        <v>74</v>
      </c>
      <c r="BO694" t="s">
        <v>74</v>
      </c>
      <c r="BP694" t="s">
        <v>74</v>
      </c>
      <c r="BQ694" t="s">
        <v>74</v>
      </c>
      <c r="BR694" t="s">
        <v>98</v>
      </c>
      <c r="BS694" t="s">
        <v>9418</v>
      </c>
      <c r="BT694" t="str">
        <f>HYPERLINK("https%3A%2F%2Fwww.webofscience.com%2Fwos%2Fwoscc%2Ffull-record%2FWOS:000074455500010","View Full Record in Web of Science")</f>
        <v>View Full Record in Web of Science</v>
      </c>
    </row>
    <row r="695" spans="1:72" x14ac:dyDescent="0.15">
      <c r="A695" t="s">
        <v>72</v>
      </c>
      <c r="B695" t="s">
        <v>9419</v>
      </c>
      <c r="C695" t="s">
        <v>74</v>
      </c>
      <c r="D695" t="s">
        <v>74</v>
      </c>
      <c r="E695" t="s">
        <v>74</v>
      </c>
      <c r="F695" t="s">
        <v>9419</v>
      </c>
      <c r="G695" t="s">
        <v>74</v>
      </c>
      <c r="H695" t="s">
        <v>74</v>
      </c>
      <c r="I695" t="s">
        <v>9420</v>
      </c>
      <c r="J695" t="s">
        <v>9421</v>
      </c>
      <c r="K695" t="s">
        <v>74</v>
      </c>
      <c r="L695" t="s">
        <v>74</v>
      </c>
      <c r="M695" t="s">
        <v>77</v>
      </c>
      <c r="N695" t="s">
        <v>103</v>
      </c>
      <c r="O695" t="s">
        <v>74</v>
      </c>
      <c r="P695" t="s">
        <v>74</v>
      </c>
      <c r="Q695" t="s">
        <v>74</v>
      </c>
      <c r="R695" t="s">
        <v>74</v>
      </c>
      <c r="S695" t="s">
        <v>74</v>
      </c>
      <c r="T695" t="s">
        <v>74</v>
      </c>
      <c r="U695" t="s">
        <v>74</v>
      </c>
      <c r="V695" t="s">
        <v>9422</v>
      </c>
      <c r="W695" t="s">
        <v>5906</v>
      </c>
      <c r="X695" t="s">
        <v>577</v>
      </c>
      <c r="Y695" t="s">
        <v>9423</v>
      </c>
      <c r="Z695" t="s">
        <v>74</v>
      </c>
      <c r="AA695" t="s">
        <v>74</v>
      </c>
      <c r="AB695" t="s">
        <v>74</v>
      </c>
      <c r="AC695" t="s">
        <v>74</v>
      </c>
      <c r="AD695" t="s">
        <v>74</v>
      </c>
      <c r="AE695" t="s">
        <v>74</v>
      </c>
      <c r="AF695" t="s">
        <v>74</v>
      </c>
      <c r="AG695">
        <v>11</v>
      </c>
      <c r="AH695">
        <v>0</v>
      </c>
      <c r="AI695">
        <v>0</v>
      </c>
      <c r="AJ695">
        <v>0</v>
      </c>
      <c r="AK695">
        <v>1</v>
      </c>
      <c r="AL695" t="s">
        <v>9424</v>
      </c>
      <c r="AM695" t="s">
        <v>278</v>
      </c>
      <c r="AN695" t="s">
        <v>9425</v>
      </c>
      <c r="AO695" t="s">
        <v>9426</v>
      </c>
      <c r="AP695" t="s">
        <v>74</v>
      </c>
      <c r="AQ695" t="s">
        <v>74</v>
      </c>
      <c r="AR695" t="s">
        <v>9427</v>
      </c>
      <c r="AS695" t="s">
        <v>9428</v>
      </c>
      <c r="AT695" t="s">
        <v>9324</v>
      </c>
      <c r="AU695">
        <v>1998</v>
      </c>
      <c r="AV695">
        <v>41</v>
      </c>
      <c r="AW695">
        <v>4</v>
      </c>
      <c r="AX695" t="s">
        <v>74</v>
      </c>
      <c r="AY695" t="s">
        <v>74</v>
      </c>
      <c r="AZ695" t="s">
        <v>74</v>
      </c>
      <c r="BA695" t="s">
        <v>74</v>
      </c>
      <c r="BB695">
        <v>574</v>
      </c>
      <c r="BC695">
        <v>578</v>
      </c>
      <c r="BD695" t="s">
        <v>74</v>
      </c>
      <c r="BE695" t="s">
        <v>74</v>
      </c>
      <c r="BF695" t="s">
        <v>74</v>
      </c>
      <c r="BG695" t="s">
        <v>74</v>
      </c>
      <c r="BH695" t="s">
        <v>74</v>
      </c>
      <c r="BI695">
        <v>5</v>
      </c>
      <c r="BJ695" t="s">
        <v>9429</v>
      </c>
      <c r="BK695" t="s">
        <v>95</v>
      </c>
      <c r="BL695" t="s">
        <v>9430</v>
      </c>
      <c r="BM695" t="s">
        <v>9431</v>
      </c>
      <c r="BN695" t="s">
        <v>74</v>
      </c>
      <c r="BO695" t="s">
        <v>74</v>
      </c>
      <c r="BP695" t="s">
        <v>74</v>
      </c>
      <c r="BQ695" t="s">
        <v>74</v>
      </c>
      <c r="BR695" t="s">
        <v>98</v>
      </c>
      <c r="BS695" t="s">
        <v>9432</v>
      </c>
      <c r="BT695" t="str">
        <f>HYPERLINK("https%3A%2F%2Fwww.webofscience.com%2Fwos%2Fwoscc%2Ffull-record%2FWOS:000076095900029","View Full Record in Web of Science")</f>
        <v>View Full Record in Web of Science</v>
      </c>
    </row>
    <row r="696" spans="1:72" x14ac:dyDescent="0.15">
      <c r="A696" t="s">
        <v>72</v>
      </c>
      <c r="B696" t="s">
        <v>9433</v>
      </c>
      <c r="C696" t="s">
        <v>74</v>
      </c>
      <c r="D696" t="s">
        <v>74</v>
      </c>
      <c r="E696" t="s">
        <v>74</v>
      </c>
      <c r="F696" t="s">
        <v>9433</v>
      </c>
      <c r="G696" t="s">
        <v>74</v>
      </c>
      <c r="H696" t="s">
        <v>74</v>
      </c>
      <c r="I696" t="s">
        <v>9434</v>
      </c>
      <c r="J696" t="s">
        <v>9435</v>
      </c>
      <c r="K696" t="s">
        <v>74</v>
      </c>
      <c r="L696" t="s">
        <v>74</v>
      </c>
      <c r="M696" t="s">
        <v>77</v>
      </c>
      <c r="N696" t="s">
        <v>103</v>
      </c>
      <c r="O696" t="s">
        <v>74</v>
      </c>
      <c r="P696" t="s">
        <v>74</v>
      </c>
      <c r="Q696" t="s">
        <v>74</v>
      </c>
      <c r="R696" t="s">
        <v>74</v>
      </c>
      <c r="S696" t="s">
        <v>74</v>
      </c>
      <c r="T696" t="s">
        <v>74</v>
      </c>
      <c r="U696" t="s">
        <v>9436</v>
      </c>
      <c r="V696" t="s">
        <v>9437</v>
      </c>
      <c r="W696" t="s">
        <v>9438</v>
      </c>
      <c r="X696" t="s">
        <v>9439</v>
      </c>
      <c r="Y696" t="s">
        <v>9440</v>
      </c>
      <c r="Z696" t="s">
        <v>74</v>
      </c>
      <c r="AA696" t="s">
        <v>9441</v>
      </c>
      <c r="AB696" t="s">
        <v>74</v>
      </c>
      <c r="AC696" t="s">
        <v>74</v>
      </c>
      <c r="AD696" t="s">
        <v>74</v>
      </c>
      <c r="AE696" t="s">
        <v>74</v>
      </c>
      <c r="AF696" t="s">
        <v>74</v>
      </c>
      <c r="AG696">
        <v>12</v>
      </c>
      <c r="AH696">
        <v>13</v>
      </c>
      <c r="AI696">
        <v>16</v>
      </c>
      <c r="AJ696">
        <v>0</v>
      </c>
      <c r="AK696">
        <v>17</v>
      </c>
      <c r="AL696" t="s">
        <v>445</v>
      </c>
      <c r="AM696" t="s">
        <v>229</v>
      </c>
      <c r="AN696" t="s">
        <v>446</v>
      </c>
      <c r="AO696" t="s">
        <v>9442</v>
      </c>
      <c r="AP696" t="s">
        <v>74</v>
      </c>
      <c r="AQ696" t="s">
        <v>74</v>
      </c>
      <c r="AR696" t="s">
        <v>9443</v>
      </c>
      <c r="AS696" t="s">
        <v>9444</v>
      </c>
      <c r="AT696" t="s">
        <v>9154</v>
      </c>
      <c r="AU696">
        <v>1998</v>
      </c>
      <c r="AV696">
        <v>41</v>
      </c>
      <c r="AW696">
        <v>13</v>
      </c>
      <c r="AX696" t="s">
        <v>74</v>
      </c>
      <c r="AY696" t="s">
        <v>74</v>
      </c>
      <c r="AZ696" t="s">
        <v>74</v>
      </c>
      <c r="BA696" t="s">
        <v>74</v>
      </c>
      <c r="BB696">
        <v>1907</v>
      </c>
      <c r="BC696">
        <v>1915</v>
      </c>
      <c r="BD696" t="s">
        <v>74</v>
      </c>
      <c r="BE696" t="s">
        <v>9445</v>
      </c>
      <c r="BF696" t="str">
        <f>HYPERLINK("http://dx.doi.org/10.1016/S0017-9310(97)00368-2","http://dx.doi.org/10.1016/S0017-9310(97)00368-2")</f>
        <v>http://dx.doi.org/10.1016/S0017-9310(97)00368-2</v>
      </c>
      <c r="BG696" t="s">
        <v>74</v>
      </c>
      <c r="BH696" t="s">
        <v>74</v>
      </c>
      <c r="BI696">
        <v>9</v>
      </c>
      <c r="BJ696" t="s">
        <v>9446</v>
      </c>
      <c r="BK696" t="s">
        <v>95</v>
      </c>
      <c r="BL696" t="s">
        <v>9447</v>
      </c>
      <c r="BM696" t="s">
        <v>9448</v>
      </c>
      <c r="BN696" t="s">
        <v>74</v>
      </c>
      <c r="BO696" t="s">
        <v>74</v>
      </c>
      <c r="BP696" t="s">
        <v>74</v>
      </c>
      <c r="BQ696" t="s">
        <v>74</v>
      </c>
      <c r="BR696" t="s">
        <v>98</v>
      </c>
      <c r="BS696" t="s">
        <v>9449</v>
      </c>
      <c r="BT696" t="str">
        <f>HYPERLINK("https%3A%2F%2Fwww.webofscience.com%2Fwos%2Fwoscc%2Ffull-record%2FWOS:000073627800004","View Full Record in Web of Science")</f>
        <v>View Full Record in Web of Science</v>
      </c>
    </row>
    <row r="697" spans="1:72" x14ac:dyDescent="0.15">
      <c r="A697" t="s">
        <v>72</v>
      </c>
      <c r="B697" t="s">
        <v>9450</v>
      </c>
      <c r="C697" t="s">
        <v>74</v>
      </c>
      <c r="D697" t="s">
        <v>74</v>
      </c>
      <c r="E697" t="s">
        <v>74</v>
      </c>
      <c r="F697" t="s">
        <v>9450</v>
      </c>
      <c r="G697" t="s">
        <v>74</v>
      </c>
      <c r="H697" t="s">
        <v>74</v>
      </c>
      <c r="I697" t="s">
        <v>9451</v>
      </c>
      <c r="J697" t="s">
        <v>6405</v>
      </c>
      <c r="K697" t="s">
        <v>74</v>
      </c>
      <c r="L697" t="s">
        <v>74</v>
      </c>
      <c r="M697" t="s">
        <v>77</v>
      </c>
      <c r="N697" t="s">
        <v>103</v>
      </c>
      <c r="O697" t="s">
        <v>74</v>
      </c>
      <c r="P697" t="s">
        <v>74</v>
      </c>
      <c r="Q697" t="s">
        <v>74</v>
      </c>
      <c r="R697" t="s">
        <v>74</v>
      </c>
      <c r="S697" t="s">
        <v>74</v>
      </c>
      <c r="T697" t="s">
        <v>9452</v>
      </c>
      <c r="U697" t="s">
        <v>9453</v>
      </c>
      <c r="V697" t="s">
        <v>9454</v>
      </c>
      <c r="W697" t="s">
        <v>74</v>
      </c>
      <c r="X697" t="s">
        <v>74</v>
      </c>
      <c r="Y697" t="s">
        <v>9455</v>
      </c>
      <c r="Z697" t="s">
        <v>6412</v>
      </c>
      <c r="AA697" t="s">
        <v>9456</v>
      </c>
      <c r="AB697" t="s">
        <v>9457</v>
      </c>
      <c r="AC697" t="s">
        <v>74</v>
      </c>
      <c r="AD697" t="s">
        <v>74</v>
      </c>
      <c r="AE697" t="s">
        <v>74</v>
      </c>
      <c r="AF697" t="s">
        <v>74</v>
      </c>
      <c r="AG697">
        <v>15</v>
      </c>
      <c r="AH697">
        <v>51</v>
      </c>
      <c r="AI697">
        <v>55</v>
      </c>
      <c r="AJ697">
        <v>0</v>
      </c>
      <c r="AK697">
        <v>12</v>
      </c>
      <c r="AL697" t="s">
        <v>5760</v>
      </c>
      <c r="AM697" t="s">
        <v>580</v>
      </c>
      <c r="AN697" t="s">
        <v>5761</v>
      </c>
      <c r="AO697" t="s">
        <v>6415</v>
      </c>
      <c r="AP697" t="s">
        <v>74</v>
      </c>
      <c r="AQ697" t="s">
        <v>74</v>
      </c>
      <c r="AR697" t="s">
        <v>6416</v>
      </c>
      <c r="AS697" t="s">
        <v>6417</v>
      </c>
      <c r="AT697" t="s">
        <v>9154</v>
      </c>
      <c r="AU697">
        <v>1998</v>
      </c>
      <c r="AV697">
        <v>48</v>
      </c>
      <c r="AW697" t="s">
        <v>74</v>
      </c>
      <c r="AX697">
        <v>3</v>
      </c>
      <c r="AY697" t="s">
        <v>74</v>
      </c>
      <c r="AZ697" t="s">
        <v>74</v>
      </c>
      <c r="BA697" t="s">
        <v>74</v>
      </c>
      <c r="BB697">
        <v>1037</v>
      </c>
      <c r="BC697">
        <v>1041</v>
      </c>
      <c r="BD697" t="s">
        <v>74</v>
      </c>
      <c r="BE697" t="s">
        <v>9458</v>
      </c>
      <c r="BF697" t="str">
        <f>HYPERLINK("http://dx.doi.org/10.1099/00207713-48-3-1037","http://dx.doi.org/10.1099/00207713-48-3-1037")</f>
        <v>http://dx.doi.org/10.1099/00207713-48-3-1037</v>
      </c>
      <c r="BG697" t="s">
        <v>74</v>
      </c>
      <c r="BH697" t="s">
        <v>74</v>
      </c>
      <c r="BI697">
        <v>5</v>
      </c>
      <c r="BJ697" t="s">
        <v>5766</v>
      </c>
      <c r="BK697" t="s">
        <v>95</v>
      </c>
      <c r="BL697" t="s">
        <v>5766</v>
      </c>
      <c r="BM697" t="s">
        <v>9459</v>
      </c>
      <c r="BN697">
        <v>9734061</v>
      </c>
      <c r="BO697" t="s">
        <v>1089</v>
      </c>
      <c r="BP697" t="s">
        <v>74</v>
      </c>
      <c r="BQ697" t="s">
        <v>74</v>
      </c>
      <c r="BR697" t="s">
        <v>98</v>
      </c>
      <c r="BS697" t="s">
        <v>9460</v>
      </c>
      <c r="BT697" t="str">
        <f>HYPERLINK("https%3A%2F%2Fwww.webofscience.com%2Fwos%2Fwoscc%2Ffull-record%2FWOS:000075590500048","View Full Record in Web of Science")</f>
        <v>View Full Record in Web of Science</v>
      </c>
    </row>
    <row r="698" spans="1:72" x14ac:dyDescent="0.15">
      <c r="A698" t="s">
        <v>72</v>
      </c>
      <c r="B698" t="s">
        <v>9461</v>
      </c>
      <c r="C698" t="s">
        <v>74</v>
      </c>
      <c r="D698" t="s">
        <v>74</v>
      </c>
      <c r="E698" t="s">
        <v>74</v>
      </c>
      <c r="F698" t="s">
        <v>9461</v>
      </c>
      <c r="G698" t="s">
        <v>74</v>
      </c>
      <c r="H698" t="s">
        <v>74</v>
      </c>
      <c r="I698" t="s">
        <v>9462</v>
      </c>
      <c r="J698" t="s">
        <v>8464</v>
      </c>
      <c r="K698" t="s">
        <v>74</v>
      </c>
      <c r="L698" t="s">
        <v>74</v>
      </c>
      <c r="M698" t="s">
        <v>77</v>
      </c>
      <c r="N698" t="s">
        <v>103</v>
      </c>
      <c r="O698" t="s">
        <v>74</v>
      </c>
      <c r="P698" t="s">
        <v>74</v>
      </c>
      <c r="Q698" t="s">
        <v>74</v>
      </c>
      <c r="R698" t="s">
        <v>74</v>
      </c>
      <c r="S698" t="s">
        <v>74</v>
      </c>
      <c r="T698" t="s">
        <v>74</v>
      </c>
      <c r="U698" t="s">
        <v>9463</v>
      </c>
      <c r="V698" t="s">
        <v>9464</v>
      </c>
      <c r="W698" t="s">
        <v>9465</v>
      </c>
      <c r="X698" t="s">
        <v>9466</v>
      </c>
      <c r="Y698" t="s">
        <v>9467</v>
      </c>
      <c r="Z698" t="s">
        <v>74</v>
      </c>
      <c r="AA698" t="s">
        <v>74</v>
      </c>
      <c r="AB698" t="s">
        <v>74</v>
      </c>
      <c r="AC698" t="s">
        <v>74</v>
      </c>
      <c r="AD698" t="s">
        <v>74</v>
      </c>
      <c r="AE698" t="s">
        <v>74</v>
      </c>
      <c r="AF698" t="s">
        <v>74</v>
      </c>
      <c r="AG698">
        <v>18</v>
      </c>
      <c r="AH698">
        <v>86</v>
      </c>
      <c r="AI698">
        <v>86</v>
      </c>
      <c r="AJ698">
        <v>0</v>
      </c>
      <c r="AK698">
        <v>4</v>
      </c>
      <c r="AL698" t="s">
        <v>445</v>
      </c>
      <c r="AM698" t="s">
        <v>229</v>
      </c>
      <c r="AN698" t="s">
        <v>446</v>
      </c>
      <c r="AO698" t="s">
        <v>8471</v>
      </c>
      <c r="AP698" t="s">
        <v>74</v>
      </c>
      <c r="AQ698" t="s">
        <v>74</v>
      </c>
      <c r="AR698" t="s">
        <v>8472</v>
      </c>
      <c r="AS698" t="s">
        <v>8473</v>
      </c>
      <c r="AT698" t="s">
        <v>9154</v>
      </c>
      <c r="AU698">
        <v>1998</v>
      </c>
      <c r="AV698">
        <v>60</v>
      </c>
      <c r="AW698">
        <v>10</v>
      </c>
      <c r="AX698" t="s">
        <v>74</v>
      </c>
      <c r="AY698" t="s">
        <v>74</v>
      </c>
      <c r="AZ698" t="s">
        <v>74</v>
      </c>
      <c r="BA698" t="s">
        <v>74</v>
      </c>
      <c r="BB698">
        <v>1047</v>
      </c>
      <c r="BC698">
        <v>1056</v>
      </c>
      <c r="BD698" t="s">
        <v>74</v>
      </c>
      <c r="BE698" t="s">
        <v>9468</v>
      </c>
      <c r="BF698" t="str">
        <f>HYPERLINK("http://dx.doi.org/10.1016/S1364-6826(98)00049-2","http://dx.doi.org/10.1016/S1364-6826(98)00049-2")</f>
        <v>http://dx.doi.org/10.1016/S1364-6826(98)00049-2</v>
      </c>
      <c r="BG698" t="s">
        <v>74</v>
      </c>
      <c r="BH698" t="s">
        <v>74</v>
      </c>
      <c r="BI698">
        <v>10</v>
      </c>
      <c r="BJ698" t="s">
        <v>8475</v>
      </c>
      <c r="BK698" t="s">
        <v>95</v>
      </c>
      <c r="BL698" t="s">
        <v>8475</v>
      </c>
      <c r="BM698" t="s">
        <v>9469</v>
      </c>
      <c r="BN698" t="s">
        <v>74</v>
      </c>
      <c r="BO698" t="s">
        <v>74</v>
      </c>
      <c r="BP698" t="s">
        <v>74</v>
      </c>
      <c r="BQ698" t="s">
        <v>74</v>
      </c>
      <c r="BR698" t="s">
        <v>98</v>
      </c>
      <c r="BS698" t="s">
        <v>9470</v>
      </c>
      <c r="BT698" t="str">
        <f>HYPERLINK("https%3A%2F%2Fwww.webofscience.com%2Fwos%2Fwoscc%2Ffull-record%2FWOS:000076517400010","View Full Record in Web of Science")</f>
        <v>View Full Record in Web of Science</v>
      </c>
    </row>
    <row r="699" spans="1:72" x14ac:dyDescent="0.15">
      <c r="A699" t="s">
        <v>72</v>
      </c>
      <c r="B699" t="s">
        <v>9471</v>
      </c>
      <c r="C699" t="s">
        <v>74</v>
      </c>
      <c r="D699" t="s">
        <v>74</v>
      </c>
      <c r="E699" t="s">
        <v>74</v>
      </c>
      <c r="F699" t="s">
        <v>9471</v>
      </c>
      <c r="G699" t="s">
        <v>74</v>
      </c>
      <c r="H699" t="s">
        <v>74</v>
      </c>
      <c r="I699" t="s">
        <v>9472</v>
      </c>
      <c r="J699" t="s">
        <v>1406</v>
      </c>
      <c r="K699" t="s">
        <v>74</v>
      </c>
      <c r="L699" t="s">
        <v>74</v>
      </c>
      <c r="M699" t="s">
        <v>77</v>
      </c>
      <c r="N699" t="s">
        <v>103</v>
      </c>
      <c r="O699" t="s">
        <v>74</v>
      </c>
      <c r="P699" t="s">
        <v>74</v>
      </c>
      <c r="Q699" t="s">
        <v>74</v>
      </c>
      <c r="R699" t="s">
        <v>74</v>
      </c>
      <c r="S699" t="s">
        <v>74</v>
      </c>
      <c r="T699" t="s">
        <v>74</v>
      </c>
      <c r="U699" t="s">
        <v>9473</v>
      </c>
      <c r="V699" t="s">
        <v>9474</v>
      </c>
      <c r="W699" t="s">
        <v>9475</v>
      </c>
      <c r="X699" t="s">
        <v>9476</v>
      </c>
      <c r="Y699" t="s">
        <v>9477</v>
      </c>
      <c r="Z699" t="s">
        <v>9478</v>
      </c>
      <c r="AA699" t="s">
        <v>9479</v>
      </c>
      <c r="AB699" t="s">
        <v>74</v>
      </c>
      <c r="AC699" t="s">
        <v>74</v>
      </c>
      <c r="AD699" t="s">
        <v>74</v>
      </c>
      <c r="AE699" t="s">
        <v>74</v>
      </c>
      <c r="AF699" t="s">
        <v>74</v>
      </c>
      <c r="AG699">
        <v>48</v>
      </c>
      <c r="AH699">
        <v>448</v>
      </c>
      <c r="AI699">
        <v>491</v>
      </c>
      <c r="AJ699">
        <v>1</v>
      </c>
      <c r="AK699">
        <v>16</v>
      </c>
      <c r="AL699" t="s">
        <v>1344</v>
      </c>
      <c r="AM699" t="s">
        <v>1345</v>
      </c>
      <c r="AN699" t="s">
        <v>1346</v>
      </c>
      <c r="AO699" t="s">
        <v>1414</v>
      </c>
      <c r="AP699" t="s">
        <v>74</v>
      </c>
      <c r="AQ699" t="s">
        <v>74</v>
      </c>
      <c r="AR699" t="s">
        <v>1415</v>
      </c>
      <c r="AS699" t="s">
        <v>1416</v>
      </c>
      <c r="AT699" t="s">
        <v>9154</v>
      </c>
      <c r="AU699">
        <v>1998</v>
      </c>
      <c r="AV699">
        <v>11</v>
      </c>
      <c r="AW699">
        <v>7</v>
      </c>
      <c r="AX699" t="s">
        <v>74</v>
      </c>
      <c r="AY699" t="s">
        <v>74</v>
      </c>
      <c r="AZ699" t="s">
        <v>74</v>
      </c>
      <c r="BA699" t="s">
        <v>74</v>
      </c>
      <c r="BB699">
        <v>1587</v>
      </c>
      <c r="BC699">
        <v>1614</v>
      </c>
      <c r="BD699" t="s">
        <v>74</v>
      </c>
      <c r="BE699" t="s">
        <v>9480</v>
      </c>
      <c r="BF699" t="str">
        <f>HYPERLINK("http://dx.doi.org/10.1175/1520-0442(1998)011&lt;1587:ACOTCM&gt;2.0.CO;2","http://dx.doi.org/10.1175/1520-0442(1998)011&lt;1587:ACOTCM&gt;2.0.CO;2")</f>
        <v>http://dx.doi.org/10.1175/1520-0442(1998)011&lt;1587:ACOTCM&gt;2.0.CO;2</v>
      </c>
      <c r="BG699" t="s">
        <v>74</v>
      </c>
      <c r="BH699" t="s">
        <v>74</v>
      </c>
      <c r="BI699">
        <v>28</v>
      </c>
      <c r="BJ699" t="s">
        <v>1418</v>
      </c>
      <c r="BK699" t="s">
        <v>95</v>
      </c>
      <c r="BL699" t="s">
        <v>1418</v>
      </c>
      <c r="BM699" t="s">
        <v>9481</v>
      </c>
      <c r="BN699" t="s">
        <v>74</v>
      </c>
      <c r="BO699" t="s">
        <v>1089</v>
      </c>
      <c r="BP699" t="s">
        <v>74</v>
      </c>
      <c r="BQ699" t="s">
        <v>74</v>
      </c>
      <c r="BR699" t="s">
        <v>98</v>
      </c>
      <c r="BS699" t="s">
        <v>9482</v>
      </c>
      <c r="BT699" t="str">
        <f>HYPERLINK("https%3A%2F%2Fwww.webofscience.com%2Fwos%2Fwoscc%2Ffull-record%2FWOS:000075326900007","View Full Record in Web of Science")</f>
        <v>View Full Record in Web of Science</v>
      </c>
    </row>
    <row r="700" spans="1:72" x14ac:dyDescent="0.15">
      <c r="A700" t="s">
        <v>72</v>
      </c>
      <c r="B700" t="s">
        <v>9483</v>
      </c>
      <c r="C700" t="s">
        <v>74</v>
      </c>
      <c r="D700" t="s">
        <v>74</v>
      </c>
      <c r="E700" t="s">
        <v>74</v>
      </c>
      <c r="F700" t="s">
        <v>9483</v>
      </c>
      <c r="G700" t="s">
        <v>74</v>
      </c>
      <c r="H700" t="s">
        <v>74</v>
      </c>
      <c r="I700" t="s">
        <v>9484</v>
      </c>
      <c r="J700" t="s">
        <v>1406</v>
      </c>
      <c r="K700" t="s">
        <v>74</v>
      </c>
      <c r="L700" t="s">
        <v>74</v>
      </c>
      <c r="M700" t="s">
        <v>77</v>
      </c>
      <c r="N700" t="s">
        <v>103</v>
      </c>
      <c r="O700" t="s">
        <v>74</v>
      </c>
      <c r="P700" t="s">
        <v>74</v>
      </c>
      <c r="Q700" t="s">
        <v>74</v>
      </c>
      <c r="R700" t="s">
        <v>74</v>
      </c>
      <c r="S700" t="s">
        <v>74</v>
      </c>
      <c r="T700" t="s">
        <v>74</v>
      </c>
      <c r="U700" t="s">
        <v>9485</v>
      </c>
      <c r="V700" t="s">
        <v>9486</v>
      </c>
      <c r="W700" t="s">
        <v>9487</v>
      </c>
      <c r="X700" t="s">
        <v>9488</v>
      </c>
      <c r="Y700" t="s">
        <v>9489</v>
      </c>
      <c r="Z700" t="s">
        <v>74</v>
      </c>
      <c r="AA700" t="s">
        <v>74</v>
      </c>
      <c r="AB700" t="s">
        <v>74</v>
      </c>
      <c r="AC700" t="s">
        <v>74</v>
      </c>
      <c r="AD700" t="s">
        <v>74</v>
      </c>
      <c r="AE700" t="s">
        <v>74</v>
      </c>
      <c r="AF700" t="s">
        <v>74</v>
      </c>
      <c r="AG700">
        <v>13</v>
      </c>
      <c r="AH700">
        <v>56</v>
      </c>
      <c r="AI700">
        <v>62</v>
      </c>
      <c r="AJ700">
        <v>0</v>
      </c>
      <c r="AK700">
        <v>3</v>
      </c>
      <c r="AL700" t="s">
        <v>1344</v>
      </c>
      <c r="AM700" t="s">
        <v>1345</v>
      </c>
      <c r="AN700" t="s">
        <v>1346</v>
      </c>
      <c r="AO700" t="s">
        <v>1414</v>
      </c>
      <c r="AP700" t="s">
        <v>74</v>
      </c>
      <c r="AQ700" t="s">
        <v>74</v>
      </c>
      <c r="AR700" t="s">
        <v>1415</v>
      </c>
      <c r="AS700" t="s">
        <v>1416</v>
      </c>
      <c r="AT700" t="s">
        <v>9154</v>
      </c>
      <c r="AU700">
        <v>1998</v>
      </c>
      <c r="AV700">
        <v>11</v>
      </c>
      <c r="AW700">
        <v>7</v>
      </c>
      <c r="AX700" t="s">
        <v>74</v>
      </c>
      <c r="AY700" t="s">
        <v>74</v>
      </c>
      <c r="AZ700" t="s">
        <v>74</v>
      </c>
      <c r="BA700" t="s">
        <v>74</v>
      </c>
      <c r="BB700">
        <v>1659</v>
      </c>
      <c r="BC700">
        <v>1672</v>
      </c>
      <c r="BD700" t="s">
        <v>74</v>
      </c>
      <c r="BE700" t="s">
        <v>9490</v>
      </c>
      <c r="BF700" t="str">
        <f>HYPERLINK("http://dx.doi.org/10.1175/1520-0442(1998)011&lt;1659:TACWIA&gt;2.0.CO;2","http://dx.doi.org/10.1175/1520-0442(1998)011&lt;1659:TACWIA&gt;2.0.CO;2")</f>
        <v>http://dx.doi.org/10.1175/1520-0442(1998)011&lt;1659:TACWIA&gt;2.0.CO;2</v>
      </c>
      <c r="BG700" t="s">
        <v>74</v>
      </c>
      <c r="BH700" t="s">
        <v>74</v>
      </c>
      <c r="BI700">
        <v>14</v>
      </c>
      <c r="BJ700" t="s">
        <v>1418</v>
      </c>
      <c r="BK700" t="s">
        <v>95</v>
      </c>
      <c r="BL700" t="s">
        <v>1418</v>
      </c>
      <c r="BM700" t="s">
        <v>9481</v>
      </c>
      <c r="BN700" t="s">
        <v>74</v>
      </c>
      <c r="BO700" t="s">
        <v>1429</v>
      </c>
      <c r="BP700" t="s">
        <v>74</v>
      </c>
      <c r="BQ700" t="s">
        <v>74</v>
      </c>
      <c r="BR700" t="s">
        <v>98</v>
      </c>
      <c r="BS700" t="s">
        <v>9491</v>
      </c>
      <c r="BT700" t="str">
        <f>HYPERLINK("https%3A%2F%2Fwww.webofscience.com%2Fwos%2Fwoscc%2Ffull-record%2FWOS:000075326900010","View Full Record in Web of Science")</f>
        <v>View Full Record in Web of Science</v>
      </c>
    </row>
    <row r="701" spans="1:72" x14ac:dyDescent="0.15">
      <c r="A701" t="s">
        <v>72</v>
      </c>
      <c r="B701" t="s">
        <v>9492</v>
      </c>
      <c r="C701" t="s">
        <v>74</v>
      </c>
      <c r="D701" t="s">
        <v>74</v>
      </c>
      <c r="E701" t="s">
        <v>74</v>
      </c>
      <c r="F701" t="s">
        <v>9492</v>
      </c>
      <c r="G701" t="s">
        <v>74</v>
      </c>
      <c r="H701" t="s">
        <v>74</v>
      </c>
      <c r="I701" t="s">
        <v>9493</v>
      </c>
      <c r="J701" t="s">
        <v>1406</v>
      </c>
      <c r="K701" t="s">
        <v>74</v>
      </c>
      <c r="L701" t="s">
        <v>74</v>
      </c>
      <c r="M701" t="s">
        <v>77</v>
      </c>
      <c r="N701" t="s">
        <v>103</v>
      </c>
      <c r="O701" t="s">
        <v>74</v>
      </c>
      <c r="P701" t="s">
        <v>74</v>
      </c>
      <c r="Q701" t="s">
        <v>74</v>
      </c>
      <c r="R701" t="s">
        <v>74</v>
      </c>
      <c r="S701" t="s">
        <v>74</v>
      </c>
      <c r="T701" t="s">
        <v>74</v>
      </c>
      <c r="U701" t="s">
        <v>9494</v>
      </c>
      <c r="V701" t="s">
        <v>9495</v>
      </c>
      <c r="W701" t="s">
        <v>9496</v>
      </c>
      <c r="X701" t="s">
        <v>9497</v>
      </c>
      <c r="Y701" t="s">
        <v>9498</v>
      </c>
      <c r="Z701" t="s">
        <v>9499</v>
      </c>
      <c r="AA701" t="s">
        <v>9500</v>
      </c>
      <c r="AB701" t="s">
        <v>9501</v>
      </c>
      <c r="AC701" t="s">
        <v>74</v>
      </c>
      <c r="AD701" t="s">
        <v>74</v>
      </c>
      <c r="AE701" t="s">
        <v>74</v>
      </c>
      <c r="AF701" t="s">
        <v>74</v>
      </c>
      <c r="AG701">
        <v>21</v>
      </c>
      <c r="AH701">
        <v>43</v>
      </c>
      <c r="AI701">
        <v>44</v>
      </c>
      <c r="AJ701">
        <v>0</v>
      </c>
      <c r="AK701">
        <v>4</v>
      </c>
      <c r="AL701" t="s">
        <v>1344</v>
      </c>
      <c r="AM701" t="s">
        <v>1345</v>
      </c>
      <c r="AN701" t="s">
        <v>1346</v>
      </c>
      <c r="AO701" t="s">
        <v>1414</v>
      </c>
      <c r="AP701" t="s">
        <v>9502</v>
      </c>
      <c r="AQ701" t="s">
        <v>74</v>
      </c>
      <c r="AR701" t="s">
        <v>1415</v>
      </c>
      <c r="AS701" t="s">
        <v>1416</v>
      </c>
      <c r="AT701" t="s">
        <v>9154</v>
      </c>
      <c r="AU701">
        <v>1998</v>
      </c>
      <c r="AV701">
        <v>11</v>
      </c>
      <c r="AW701">
        <v>7</v>
      </c>
      <c r="AX701" t="s">
        <v>74</v>
      </c>
      <c r="AY701" t="s">
        <v>74</v>
      </c>
      <c r="AZ701" t="s">
        <v>74</v>
      </c>
      <c r="BA701" t="s">
        <v>74</v>
      </c>
      <c r="BB701">
        <v>1703</v>
      </c>
      <c r="BC701">
        <v>1716</v>
      </c>
      <c r="BD701" t="s">
        <v>74</v>
      </c>
      <c r="BE701" t="s">
        <v>9503</v>
      </c>
      <c r="BF701" t="str">
        <f>HYPERLINK("http://dx.doi.org/10.1175/1520-0442(1998)011&lt;1703:CADOEA&gt;2.0.CO;2","http://dx.doi.org/10.1175/1520-0442(1998)011&lt;1703:CADOEA&gt;2.0.CO;2")</f>
        <v>http://dx.doi.org/10.1175/1520-0442(1998)011&lt;1703:CADOEA&gt;2.0.CO;2</v>
      </c>
      <c r="BG701" t="s">
        <v>74</v>
      </c>
      <c r="BH701" t="s">
        <v>74</v>
      </c>
      <c r="BI701">
        <v>14</v>
      </c>
      <c r="BJ701" t="s">
        <v>1418</v>
      </c>
      <c r="BK701" t="s">
        <v>95</v>
      </c>
      <c r="BL701" t="s">
        <v>1418</v>
      </c>
      <c r="BM701" t="s">
        <v>9481</v>
      </c>
      <c r="BN701" t="s">
        <v>74</v>
      </c>
      <c r="BO701" t="s">
        <v>74</v>
      </c>
      <c r="BP701" t="s">
        <v>74</v>
      </c>
      <c r="BQ701" t="s">
        <v>74</v>
      </c>
      <c r="BR701" t="s">
        <v>98</v>
      </c>
      <c r="BS701" t="s">
        <v>9504</v>
      </c>
      <c r="BT701" t="str">
        <f>HYPERLINK("https%3A%2F%2Fwww.webofscience.com%2Fwos%2Fwoscc%2Ffull-record%2FWOS:000075326900013","View Full Record in Web of Science")</f>
        <v>View Full Record in Web of Science</v>
      </c>
    </row>
    <row r="702" spans="1:72" x14ac:dyDescent="0.15">
      <c r="A702" t="s">
        <v>72</v>
      </c>
      <c r="B702" t="s">
        <v>9505</v>
      </c>
      <c r="C702" t="s">
        <v>74</v>
      </c>
      <c r="D702" t="s">
        <v>74</v>
      </c>
      <c r="E702" t="s">
        <v>74</v>
      </c>
      <c r="F702" t="s">
        <v>9505</v>
      </c>
      <c r="G702" t="s">
        <v>74</v>
      </c>
      <c r="H702" t="s">
        <v>74</v>
      </c>
      <c r="I702" t="s">
        <v>9506</v>
      </c>
      <c r="J702" t="s">
        <v>9507</v>
      </c>
      <c r="K702" t="s">
        <v>74</v>
      </c>
      <c r="L702" t="s">
        <v>74</v>
      </c>
      <c r="M702" t="s">
        <v>77</v>
      </c>
      <c r="N702" t="s">
        <v>103</v>
      </c>
      <c r="O702" t="s">
        <v>74</v>
      </c>
      <c r="P702" t="s">
        <v>74</v>
      </c>
      <c r="Q702" t="s">
        <v>74</v>
      </c>
      <c r="R702" t="s">
        <v>74</v>
      </c>
      <c r="S702" t="s">
        <v>74</v>
      </c>
      <c r="T702" t="s">
        <v>9508</v>
      </c>
      <c r="U702" t="s">
        <v>9509</v>
      </c>
      <c r="V702" t="s">
        <v>9510</v>
      </c>
      <c r="W702" t="s">
        <v>9511</v>
      </c>
      <c r="X702" t="s">
        <v>9512</v>
      </c>
      <c r="Y702" t="s">
        <v>9513</v>
      </c>
      <c r="Z702" t="s">
        <v>74</v>
      </c>
      <c r="AA702" t="s">
        <v>9514</v>
      </c>
      <c r="AB702" t="s">
        <v>7366</v>
      </c>
      <c r="AC702" t="s">
        <v>74</v>
      </c>
      <c r="AD702" t="s">
        <v>74</v>
      </c>
      <c r="AE702" t="s">
        <v>74</v>
      </c>
      <c r="AF702" t="s">
        <v>74</v>
      </c>
      <c r="AG702">
        <v>37</v>
      </c>
      <c r="AH702">
        <v>28</v>
      </c>
      <c r="AI702">
        <v>30</v>
      </c>
      <c r="AJ702">
        <v>0</v>
      </c>
      <c r="AK702">
        <v>6</v>
      </c>
      <c r="AL702" t="s">
        <v>887</v>
      </c>
      <c r="AM702" t="s">
        <v>278</v>
      </c>
      <c r="AN702" t="s">
        <v>888</v>
      </c>
      <c r="AO702" t="s">
        <v>9515</v>
      </c>
      <c r="AP702" t="s">
        <v>74</v>
      </c>
      <c r="AQ702" t="s">
        <v>74</v>
      </c>
      <c r="AR702" t="s">
        <v>9516</v>
      </c>
      <c r="AS702" t="s">
        <v>9517</v>
      </c>
      <c r="AT702" t="s">
        <v>9154</v>
      </c>
      <c r="AU702">
        <v>1998</v>
      </c>
      <c r="AV702">
        <v>168</v>
      </c>
      <c r="AW702">
        <v>5</v>
      </c>
      <c r="AX702" t="s">
        <v>74</v>
      </c>
      <c r="AY702" t="s">
        <v>74</v>
      </c>
      <c r="AZ702" t="s">
        <v>74</v>
      </c>
      <c r="BA702" t="s">
        <v>74</v>
      </c>
      <c r="BB702">
        <v>345</v>
      </c>
      <c r="BC702">
        <v>352</v>
      </c>
      <c r="BD702" t="s">
        <v>74</v>
      </c>
      <c r="BE702" t="s">
        <v>9518</v>
      </c>
      <c r="BF702" t="str">
        <f>HYPERLINK("http://dx.doi.org/10.1007/s003600050153","http://dx.doi.org/10.1007/s003600050153")</f>
        <v>http://dx.doi.org/10.1007/s003600050153</v>
      </c>
      <c r="BG702" t="s">
        <v>74</v>
      </c>
      <c r="BH702" t="s">
        <v>74</v>
      </c>
      <c r="BI702">
        <v>8</v>
      </c>
      <c r="BJ702" t="s">
        <v>9519</v>
      </c>
      <c r="BK702" t="s">
        <v>95</v>
      </c>
      <c r="BL702" t="s">
        <v>9519</v>
      </c>
      <c r="BM702" t="s">
        <v>9520</v>
      </c>
      <c r="BN702" t="s">
        <v>74</v>
      </c>
      <c r="BO702" t="s">
        <v>74</v>
      </c>
      <c r="BP702" t="s">
        <v>74</v>
      </c>
      <c r="BQ702" t="s">
        <v>74</v>
      </c>
      <c r="BR702" t="s">
        <v>98</v>
      </c>
      <c r="BS702" t="s">
        <v>9521</v>
      </c>
      <c r="BT702" t="str">
        <f>HYPERLINK("https%3A%2F%2Fwww.webofscience.com%2Fwos%2Fwoscc%2Ffull-record%2FWOS:000074994800002","View Full Record in Web of Science")</f>
        <v>View Full Record in Web of Science</v>
      </c>
    </row>
    <row r="703" spans="1:72" x14ac:dyDescent="0.15">
      <c r="A703" t="s">
        <v>72</v>
      </c>
      <c r="B703" t="s">
        <v>9522</v>
      </c>
      <c r="C703" t="s">
        <v>74</v>
      </c>
      <c r="D703" t="s">
        <v>74</v>
      </c>
      <c r="E703" t="s">
        <v>74</v>
      </c>
      <c r="F703" t="s">
        <v>9522</v>
      </c>
      <c r="G703" t="s">
        <v>74</v>
      </c>
      <c r="H703" t="s">
        <v>74</v>
      </c>
      <c r="I703" t="s">
        <v>9523</v>
      </c>
      <c r="J703" t="s">
        <v>9524</v>
      </c>
      <c r="K703" t="s">
        <v>74</v>
      </c>
      <c r="L703" t="s">
        <v>74</v>
      </c>
      <c r="M703" t="s">
        <v>77</v>
      </c>
      <c r="N703" t="s">
        <v>103</v>
      </c>
      <c r="O703" t="s">
        <v>74</v>
      </c>
      <c r="P703" t="s">
        <v>74</v>
      </c>
      <c r="Q703" t="s">
        <v>74</v>
      </c>
      <c r="R703" t="s">
        <v>74</v>
      </c>
      <c r="S703" t="s">
        <v>74</v>
      </c>
      <c r="T703" t="s">
        <v>9525</v>
      </c>
      <c r="U703" t="s">
        <v>9526</v>
      </c>
      <c r="V703" t="s">
        <v>9527</v>
      </c>
      <c r="W703" t="s">
        <v>9528</v>
      </c>
      <c r="X703" t="s">
        <v>9529</v>
      </c>
      <c r="Y703" t="s">
        <v>9530</v>
      </c>
      <c r="Z703" t="s">
        <v>9531</v>
      </c>
      <c r="AA703" t="s">
        <v>9532</v>
      </c>
      <c r="AB703" t="s">
        <v>74</v>
      </c>
      <c r="AC703" t="s">
        <v>74</v>
      </c>
      <c r="AD703" t="s">
        <v>74</v>
      </c>
      <c r="AE703" t="s">
        <v>74</v>
      </c>
      <c r="AF703" t="s">
        <v>74</v>
      </c>
      <c r="AG703">
        <v>33</v>
      </c>
      <c r="AH703">
        <v>40</v>
      </c>
      <c r="AI703">
        <v>44</v>
      </c>
      <c r="AJ703">
        <v>0</v>
      </c>
      <c r="AK703">
        <v>2</v>
      </c>
      <c r="AL703" t="s">
        <v>9533</v>
      </c>
      <c r="AM703" t="s">
        <v>395</v>
      </c>
      <c r="AN703" t="s">
        <v>9534</v>
      </c>
      <c r="AO703" t="s">
        <v>9535</v>
      </c>
      <c r="AP703" t="s">
        <v>74</v>
      </c>
      <c r="AQ703" t="s">
        <v>74</v>
      </c>
      <c r="AR703" t="s">
        <v>9536</v>
      </c>
      <c r="AS703" t="s">
        <v>9537</v>
      </c>
      <c r="AT703" t="s">
        <v>9154</v>
      </c>
      <c r="AU703">
        <v>1998</v>
      </c>
      <c r="AV703">
        <v>201</v>
      </c>
      <c r="AW703">
        <v>14</v>
      </c>
      <c r="AX703" t="s">
        <v>74</v>
      </c>
      <c r="AY703" t="s">
        <v>74</v>
      </c>
      <c r="AZ703" t="s">
        <v>74</v>
      </c>
      <c r="BA703" t="s">
        <v>74</v>
      </c>
      <c r="BB703">
        <v>2129</v>
      </c>
      <c r="BC703">
        <v>2138</v>
      </c>
      <c r="BD703" t="s">
        <v>74</v>
      </c>
      <c r="BE703" t="s">
        <v>74</v>
      </c>
      <c r="BF703" t="s">
        <v>74</v>
      </c>
      <c r="BG703" t="s">
        <v>74</v>
      </c>
      <c r="BH703" t="s">
        <v>74</v>
      </c>
      <c r="BI703">
        <v>10</v>
      </c>
      <c r="BJ703" t="s">
        <v>6479</v>
      </c>
      <c r="BK703" t="s">
        <v>95</v>
      </c>
      <c r="BL703" t="s">
        <v>6480</v>
      </c>
      <c r="BM703" t="s">
        <v>9538</v>
      </c>
      <c r="BN703">
        <v>9639587</v>
      </c>
      <c r="BO703" t="s">
        <v>74</v>
      </c>
      <c r="BP703" t="s">
        <v>74</v>
      </c>
      <c r="BQ703" t="s">
        <v>74</v>
      </c>
      <c r="BR703" t="s">
        <v>98</v>
      </c>
      <c r="BS703" t="s">
        <v>9539</v>
      </c>
      <c r="BT703" t="str">
        <f>HYPERLINK("https%3A%2F%2Fwww.webofscience.com%2Fwos%2Fwoscc%2Ffull-record%2FWOS:000075216100004","View Full Record in Web of Science")</f>
        <v>View Full Record in Web of Science</v>
      </c>
    </row>
    <row r="704" spans="1:72" x14ac:dyDescent="0.15">
      <c r="A704" t="s">
        <v>72</v>
      </c>
      <c r="B704" t="s">
        <v>9540</v>
      </c>
      <c r="C704" t="s">
        <v>74</v>
      </c>
      <c r="D704" t="s">
        <v>74</v>
      </c>
      <c r="E704" t="s">
        <v>74</v>
      </c>
      <c r="F704" t="s">
        <v>9540</v>
      </c>
      <c r="G704" t="s">
        <v>74</v>
      </c>
      <c r="H704" t="s">
        <v>74</v>
      </c>
      <c r="I704" t="s">
        <v>9541</v>
      </c>
      <c r="J704" t="s">
        <v>1450</v>
      </c>
      <c r="K704" t="s">
        <v>74</v>
      </c>
      <c r="L704" t="s">
        <v>74</v>
      </c>
      <c r="M704" t="s">
        <v>77</v>
      </c>
      <c r="N704" t="s">
        <v>103</v>
      </c>
      <c r="O704" t="s">
        <v>74</v>
      </c>
      <c r="P704" t="s">
        <v>74</v>
      </c>
      <c r="Q704" t="s">
        <v>74</v>
      </c>
      <c r="R704" t="s">
        <v>74</v>
      </c>
      <c r="S704" t="s">
        <v>74</v>
      </c>
      <c r="T704" t="s">
        <v>74</v>
      </c>
      <c r="U704" t="s">
        <v>9542</v>
      </c>
      <c r="V704" t="s">
        <v>9543</v>
      </c>
      <c r="W704" t="s">
        <v>9544</v>
      </c>
      <c r="X704" t="s">
        <v>9545</v>
      </c>
      <c r="Y704" t="s">
        <v>9546</v>
      </c>
      <c r="Z704" t="s">
        <v>74</v>
      </c>
      <c r="AA704" t="s">
        <v>9547</v>
      </c>
      <c r="AB704" t="s">
        <v>9548</v>
      </c>
      <c r="AC704" t="s">
        <v>74</v>
      </c>
      <c r="AD704" t="s">
        <v>74</v>
      </c>
      <c r="AE704" t="s">
        <v>74</v>
      </c>
      <c r="AF704" t="s">
        <v>74</v>
      </c>
      <c r="AG704">
        <v>24</v>
      </c>
      <c r="AH704">
        <v>11</v>
      </c>
      <c r="AI704">
        <v>11</v>
      </c>
      <c r="AJ704">
        <v>0</v>
      </c>
      <c r="AK704">
        <v>1</v>
      </c>
      <c r="AL704" t="s">
        <v>966</v>
      </c>
      <c r="AM704" t="s">
        <v>967</v>
      </c>
      <c r="AN704" t="s">
        <v>968</v>
      </c>
      <c r="AO704" t="s">
        <v>74</v>
      </c>
      <c r="AP704" t="s">
        <v>74</v>
      </c>
      <c r="AQ704" t="s">
        <v>74</v>
      </c>
      <c r="AR704" t="s">
        <v>1460</v>
      </c>
      <c r="AS704" t="s">
        <v>1461</v>
      </c>
      <c r="AT704" t="s">
        <v>9362</v>
      </c>
      <c r="AU704">
        <v>1998</v>
      </c>
      <c r="AV704">
        <v>103</v>
      </c>
      <c r="AW704" t="s">
        <v>9549</v>
      </c>
      <c r="AX704" t="s">
        <v>74</v>
      </c>
      <c r="AY704" t="s">
        <v>74</v>
      </c>
      <c r="AZ704" t="s">
        <v>74</v>
      </c>
      <c r="BA704" t="s">
        <v>74</v>
      </c>
      <c r="BB704">
        <v>14979</v>
      </c>
      <c r="BC704">
        <v>14986</v>
      </c>
      <c r="BD704" t="s">
        <v>74</v>
      </c>
      <c r="BE704" t="s">
        <v>9550</v>
      </c>
      <c r="BF704" t="str">
        <f>HYPERLINK("http://dx.doi.org/10.1029/98JA00964","http://dx.doi.org/10.1029/98JA00964")</f>
        <v>http://dx.doi.org/10.1029/98JA00964</v>
      </c>
      <c r="BG704" t="s">
        <v>74</v>
      </c>
      <c r="BH704" t="s">
        <v>74</v>
      </c>
      <c r="BI704">
        <v>8</v>
      </c>
      <c r="BJ704" t="s">
        <v>1464</v>
      </c>
      <c r="BK704" t="s">
        <v>95</v>
      </c>
      <c r="BL704" t="s">
        <v>1464</v>
      </c>
      <c r="BM704" t="s">
        <v>9551</v>
      </c>
      <c r="BN704" t="s">
        <v>74</v>
      </c>
      <c r="BO704" t="s">
        <v>1999</v>
      </c>
      <c r="BP704" t="s">
        <v>74</v>
      </c>
      <c r="BQ704" t="s">
        <v>74</v>
      </c>
      <c r="BR704" t="s">
        <v>98</v>
      </c>
      <c r="BS704" t="s">
        <v>9552</v>
      </c>
      <c r="BT704" t="str">
        <f>HYPERLINK("https%3A%2F%2Fwww.webofscience.com%2Fwos%2Fwoscc%2Ffull-record%2FWOS:000074589300041","View Full Record in Web of Science")</f>
        <v>View Full Record in Web of Science</v>
      </c>
    </row>
    <row r="705" spans="1:72" x14ac:dyDescent="0.15">
      <c r="A705" t="s">
        <v>72</v>
      </c>
      <c r="B705" t="s">
        <v>9540</v>
      </c>
      <c r="C705" t="s">
        <v>74</v>
      </c>
      <c r="D705" t="s">
        <v>74</v>
      </c>
      <c r="E705" t="s">
        <v>74</v>
      </c>
      <c r="F705" t="s">
        <v>9540</v>
      </c>
      <c r="G705" t="s">
        <v>74</v>
      </c>
      <c r="H705" t="s">
        <v>74</v>
      </c>
      <c r="I705" t="s">
        <v>9553</v>
      </c>
      <c r="J705" t="s">
        <v>1450</v>
      </c>
      <c r="K705" t="s">
        <v>74</v>
      </c>
      <c r="L705" t="s">
        <v>74</v>
      </c>
      <c r="M705" t="s">
        <v>77</v>
      </c>
      <c r="N705" t="s">
        <v>103</v>
      </c>
      <c r="O705" t="s">
        <v>74</v>
      </c>
      <c r="P705" t="s">
        <v>74</v>
      </c>
      <c r="Q705" t="s">
        <v>74</v>
      </c>
      <c r="R705" t="s">
        <v>74</v>
      </c>
      <c r="S705" t="s">
        <v>74</v>
      </c>
      <c r="T705" t="s">
        <v>74</v>
      </c>
      <c r="U705" t="s">
        <v>9554</v>
      </c>
      <c r="V705" t="s">
        <v>9555</v>
      </c>
      <c r="W705" t="s">
        <v>9556</v>
      </c>
      <c r="X705" t="s">
        <v>9557</v>
      </c>
      <c r="Y705" t="s">
        <v>9546</v>
      </c>
      <c r="Z705" t="s">
        <v>74</v>
      </c>
      <c r="AA705" t="s">
        <v>9558</v>
      </c>
      <c r="AB705" t="s">
        <v>9559</v>
      </c>
      <c r="AC705" t="s">
        <v>74</v>
      </c>
      <c r="AD705" t="s">
        <v>74</v>
      </c>
      <c r="AE705" t="s">
        <v>74</v>
      </c>
      <c r="AF705" t="s">
        <v>74</v>
      </c>
      <c r="AG705">
        <v>19</v>
      </c>
      <c r="AH705">
        <v>7</v>
      </c>
      <c r="AI705">
        <v>7</v>
      </c>
      <c r="AJ705">
        <v>0</v>
      </c>
      <c r="AK705">
        <v>1</v>
      </c>
      <c r="AL705" t="s">
        <v>966</v>
      </c>
      <c r="AM705" t="s">
        <v>967</v>
      </c>
      <c r="AN705" t="s">
        <v>968</v>
      </c>
      <c r="AO705" t="s">
        <v>74</v>
      </c>
      <c r="AP705" t="s">
        <v>74</v>
      </c>
      <c r="AQ705" t="s">
        <v>74</v>
      </c>
      <c r="AR705" t="s">
        <v>1460</v>
      </c>
      <c r="AS705" t="s">
        <v>1461</v>
      </c>
      <c r="AT705" t="s">
        <v>9362</v>
      </c>
      <c r="AU705">
        <v>1998</v>
      </c>
      <c r="AV705">
        <v>103</v>
      </c>
      <c r="AW705" t="s">
        <v>9549</v>
      </c>
      <c r="AX705" t="s">
        <v>74</v>
      </c>
      <c r="AY705" t="s">
        <v>74</v>
      </c>
      <c r="AZ705" t="s">
        <v>74</v>
      </c>
      <c r="BA705" t="s">
        <v>74</v>
      </c>
      <c r="BB705">
        <v>14987</v>
      </c>
      <c r="BC705">
        <v>14994</v>
      </c>
      <c r="BD705" t="s">
        <v>74</v>
      </c>
      <c r="BE705" t="s">
        <v>9560</v>
      </c>
      <c r="BF705" t="str">
        <f>HYPERLINK("http://dx.doi.org/10.1029/98JA00965","http://dx.doi.org/10.1029/98JA00965")</f>
        <v>http://dx.doi.org/10.1029/98JA00965</v>
      </c>
      <c r="BG705" t="s">
        <v>74</v>
      </c>
      <c r="BH705" t="s">
        <v>74</v>
      </c>
      <c r="BI705">
        <v>8</v>
      </c>
      <c r="BJ705" t="s">
        <v>1464</v>
      </c>
      <c r="BK705" t="s">
        <v>95</v>
      </c>
      <c r="BL705" t="s">
        <v>1464</v>
      </c>
      <c r="BM705" t="s">
        <v>9551</v>
      </c>
      <c r="BN705" t="s">
        <v>74</v>
      </c>
      <c r="BO705" t="s">
        <v>2825</v>
      </c>
      <c r="BP705" t="s">
        <v>74</v>
      </c>
      <c r="BQ705" t="s">
        <v>74</v>
      </c>
      <c r="BR705" t="s">
        <v>98</v>
      </c>
      <c r="BS705" t="s">
        <v>9561</v>
      </c>
      <c r="BT705" t="str">
        <f>HYPERLINK("https%3A%2F%2Fwww.webofscience.com%2Fwos%2Fwoscc%2Ffull-record%2FWOS:000074589300042","View Full Record in Web of Science")</f>
        <v>View Full Record in Web of Science</v>
      </c>
    </row>
    <row r="706" spans="1:72" x14ac:dyDescent="0.15">
      <c r="A706" t="s">
        <v>72</v>
      </c>
      <c r="B706" t="s">
        <v>9562</v>
      </c>
      <c r="C706" t="s">
        <v>74</v>
      </c>
      <c r="D706" t="s">
        <v>74</v>
      </c>
      <c r="E706" t="s">
        <v>74</v>
      </c>
      <c r="F706" t="s">
        <v>9562</v>
      </c>
      <c r="G706" t="s">
        <v>74</v>
      </c>
      <c r="H706" t="s">
        <v>74</v>
      </c>
      <c r="I706" t="s">
        <v>9563</v>
      </c>
      <c r="J706" t="s">
        <v>6520</v>
      </c>
      <c r="K706" t="s">
        <v>74</v>
      </c>
      <c r="L706" t="s">
        <v>74</v>
      </c>
      <c r="M706" t="s">
        <v>77</v>
      </c>
      <c r="N706" t="s">
        <v>103</v>
      </c>
      <c r="O706" t="s">
        <v>74</v>
      </c>
      <c r="P706" t="s">
        <v>74</v>
      </c>
      <c r="Q706" t="s">
        <v>74</v>
      </c>
      <c r="R706" t="s">
        <v>74</v>
      </c>
      <c r="S706" t="s">
        <v>74</v>
      </c>
      <c r="T706" t="s">
        <v>9564</v>
      </c>
      <c r="U706" t="s">
        <v>9565</v>
      </c>
      <c r="V706" t="s">
        <v>9566</v>
      </c>
      <c r="W706" t="s">
        <v>7076</v>
      </c>
      <c r="X706" t="s">
        <v>3440</v>
      </c>
      <c r="Y706" t="s">
        <v>7077</v>
      </c>
      <c r="Z706" t="s">
        <v>74</v>
      </c>
      <c r="AA706" t="s">
        <v>9567</v>
      </c>
      <c r="AB706" t="s">
        <v>74</v>
      </c>
      <c r="AC706" t="s">
        <v>74</v>
      </c>
      <c r="AD706" t="s">
        <v>74</v>
      </c>
      <c r="AE706" t="s">
        <v>74</v>
      </c>
      <c r="AF706" t="s">
        <v>74</v>
      </c>
      <c r="AG706">
        <v>85</v>
      </c>
      <c r="AH706">
        <v>63</v>
      </c>
      <c r="AI706">
        <v>71</v>
      </c>
      <c r="AJ706">
        <v>4</v>
      </c>
      <c r="AK706">
        <v>24</v>
      </c>
      <c r="AL706" t="s">
        <v>445</v>
      </c>
      <c r="AM706" t="s">
        <v>229</v>
      </c>
      <c r="AN706" t="s">
        <v>446</v>
      </c>
      <c r="AO706" t="s">
        <v>6529</v>
      </c>
      <c r="AP706" t="s">
        <v>74</v>
      </c>
      <c r="AQ706" t="s">
        <v>74</v>
      </c>
      <c r="AR706" t="s">
        <v>6531</v>
      </c>
      <c r="AS706" t="s">
        <v>6532</v>
      </c>
      <c r="AT706" t="s">
        <v>9324</v>
      </c>
      <c r="AU706">
        <v>1998</v>
      </c>
      <c r="AV706">
        <v>44</v>
      </c>
      <c r="AW706" t="s">
        <v>630</v>
      </c>
      <c r="AX706" t="s">
        <v>74</v>
      </c>
      <c r="AY706" t="s">
        <v>74</v>
      </c>
      <c r="AZ706" t="s">
        <v>74</v>
      </c>
      <c r="BA706" t="s">
        <v>74</v>
      </c>
      <c r="BB706">
        <v>615</v>
      </c>
      <c r="BC706">
        <v>628</v>
      </c>
      <c r="BD706" t="s">
        <v>74</v>
      </c>
      <c r="BE706" t="s">
        <v>9568</v>
      </c>
      <c r="BF706" t="str">
        <f>HYPERLINK("http://dx.doi.org/10.1016/S0022-1910(98)00052-3","http://dx.doi.org/10.1016/S0022-1910(98)00052-3")</f>
        <v>http://dx.doi.org/10.1016/S0022-1910(98)00052-3</v>
      </c>
      <c r="BG706" t="s">
        <v>74</v>
      </c>
      <c r="BH706" t="s">
        <v>74</v>
      </c>
      <c r="BI706">
        <v>14</v>
      </c>
      <c r="BJ706" t="s">
        <v>6534</v>
      </c>
      <c r="BK706" t="s">
        <v>95</v>
      </c>
      <c r="BL706" t="s">
        <v>6534</v>
      </c>
      <c r="BM706" t="s">
        <v>9569</v>
      </c>
      <c r="BN706">
        <v>12769944</v>
      </c>
      <c r="BO706" t="s">
        <v>74</v>
      </c>
      <c r="BP706" t="s">
        <v>74</v>
      </c>
      <c r="BQ706" t="s">
        <v>74</v>
      </c>
      <c r="BR706" t="s">
        <v>98</v>
      </c>
      <c r="BS706" t="s">
        <v>9570</v>
      </c>
      <c r="BT706" t="str">
        <f>HYPERLINK("https%3A%2F%2Fwww.webofscience.com%2Fwos%2Fwoscc%2Ffull-record%2FWOS:000074842300010","View Full Record in Web of Science")</f>
        <v>View Full Record in Web of Science</v>
      </c>
    </row>
    <row r="707" spans="1:72" x14ac:dyDescent="0.15">
      <c r="A707" t="s">
        <v>72</v>
      </c>
      <c r="B707" t="s">
        <v>9571</v>
      </c>
      <c r="C707" t="s">
        <v>74</v>
      </c>
      <c r="D707" t="s">
        <v>74</v>
      </c>
      <c r="E707" t="s">
        <v>74</v>
      </c>
      <c r="F707" t="s">
        <v>9571</v>
      </c>
      <c r="G707" t="s">
        <v>74</v>
      </c>
      <c r="H707" t="s">
        <v>74</v>
      </c>
      <c r="I707" t="s">
        <v>9572</v>
      </c>
      <c r="J707" t="s">
        <v>9573</v>
      </c>
      <c r="K707" t="s">
        <v>74</v>
      </c>
      <c r="L707" t="s">
        <v>74</v>
      </c>
      <c r="M707" t="s">
        <v>77</v>
      </c>
      <c r="N707" t="s">
        <v>103</v>
      </c>
      <c r="O707" t="s">
        <v>74</v>
      </c>
      <c r="P707" t="s">
        <v>74</v>
      </c>
      <c r="Q707" t="s">
        <v>74</v>
      </c>
      <c r="R707" t="s">
        <v>74</v>
      </c>
      <c r="S707" t="s">
        <v>74</v>
      </c>
      <c r="T707" t="s">
        <v>9574</v>
      </c>
      <c r="U707" t="s">
        <v>9575</v>
      </c>
      <c r="V707" t="s">
        <v>9576</v>
      </c>
      <c r="W707" t="s">
        <v>9577</v>
      </c>
      <c r="X707" t="s">
        <v>9578</v>
      </c>
      <c r="Y707" t="s">
        <v>9579</v>
      </c>
      <c r="Z707" t="s">
        <v>9580</v>
      </c>
      <c r="AA707" t="s">
        <v>9581</v>
      </c>
      <c r="AB707" t="s">
        <v>9582</v>
      </c>
      <c r="AC707" t="s">
        <v>74</v>
      </c>
      <c r="AD707" t="s">
        <v>74</v>
      </c>
      <c r="AE707" t="s">
        <v>74</v>
      </c>
      <c r="AF707" t="s">
        <v>74</v>
      </c>
      <c r="AG707">
        <v>96</v>
      </c>
      <c r="AH707">
        <v>285</v>
      </c>
      <c r="AI707">
        <v>331</v>
      </c>
      <c r="AJ707">
        <v>1</v>
      </c>
      <c r="AK707">
        <v>29</v>
      </c>
      <c r="AL707" t="s">
        <v>4439</v>
      </c>
      <c r="AM707" t="s">
        <v>229</v>
      </c>
      <c r="AN707" t="s">
        <v>4440</v>
      </c>
      <c r="AO707" t="s">
        <v>9583</v>
      </c>
      <c r="AP707" t="s">
        <v>74</v>
      </c>
      <c r="AQ707" t="s">
        <v>74</v>
      </c>
      <c r="AR707" t="s">
        <v>9584</v>
      </c>
      <c r="AS707" t="s">
        <v>9585</v>
      </c>
      <c r="AT707" t="s">
        <v>9154</v>
      </c>
      <c r="AU707">
        <v>1998</v>
      </c>
      <c r="AV707">
        <v>39</v>
      </c>
      <c r="AW707">
        <v>7</v>
      </c>
      <c r="AX707" t="s">
        <v>74</v>
      </c>
      <c r="AY707" t="s">
        <v>74</v>
      </c>
      <c r="AZ707" t="s">
        <v>74</v>
      </c>
      <c r="BA707" t="s">
        <v>74</v>
      </c>
      <c r="BB707">
        <v>1285</v>
      </c>
      <c r="BC707">
        <v>1306</v>
      </c>
      <c r="BD707" t="s">
        <v>74</v>
      </c>
      <c r="BE707" t="s">
        <v>9586</v>
      </c>
      <c r="BF707" t="str">
        <f>HYPERLINK("http://dx.doi.org/10.1093/petrology/39.7.1285","http://dx.doi.org/10.1093/petrology/39.7.1285")</f>
        <v>http://dx.doi.org/10.1093/petrology/39.7.1285</v>
      </c>
      <c r="BG707" t="s">
        <v>74</v>
      </c>
      <c r="BH707" t="s">
        <v>74</v>
      </c>
      <c r="BI707">
        <v>22</v>
      </c>
      <c r="BJ707" t="s">
        <v>303</v>
      </c>
      <c r="BK707" t="s">
        <v>95</v>
      </c>
      <c r="BL707" t="s">
        <v>303</v>
      </c>
      <c r="BM707" t="s">
        <v>9587</v>
      </c>
      <c r="BN707" t="s">
        <v>74</v>
      </c>
      <c r="BO707" t="s">
        <v>986</v>
      </c>
      <c r="BP707" t="s">
        <v>74</v>
      </c>
      <c r="BQ707" t="s">
        <v>74</v>
      </c>
      <c r="BR707" t="s">
        <v>98</v>
      </c>
      <c r="BS707" t="s">
        <v>9588</v>
      </c>
      <c r="BT707" t="str">
        <f>HYPERLINK("https%3A%2F%2Fwww.webofscience.com%2Fwos%2Fwoscc%2Ffull-record%2FWOS:000074997800002","View Full Record in Web of Science")</f>
        <v>View Full Record in Web of Science</v>
      </c>
    </row>
    <row r="708" spans="1:72" x14ac:dyDescent="0.15">
      <c r="A708" t="s">
        <v>72</v>
      </c>
      <c r="B708" t="s">
        <v>9589</v>
      </c>
      <c r="C708" t="s">
        <v>74</v>
      </c>
      <c r="D708" t="s">
        <v>74</v>
      </c>
      <c r="E708" t="s">
        <v>74</v>
      </c>
      <c r="F708" t="s">
        <v>9589</v>
      </c>
      <c r="G708" t="s">
        <v>74</v>
      </c>
      <c r="H708" t="s">
        <v>74</v>
      </c>
      <c r="I708" t="s">
        <v>9590</v>
      </c>
      <c r="J708" t="s">
        <v>4431</v>
      </c>
      <c r="K708" t="s">
        <v>74</v>
      </c>
      <c r="L708" t="s">
        <v>74</v>
      </c>
      <c r="M708" t="s">
        <v>77</v>
      </c>
      <c r="N708" t="s">
        <v>103</v>
      </c>
      <c r="O708" t="s">
        <v>74</v>
      </c>
      <c r="P708" t="s">
        <v>74</v>
      </c>
      <c r="Q708" t="s">
        <v>74</v>
      </c>
      <c r="R708" t="s">
        <v>74</v>
      </c>
      <c r="S708" t="s">
        <v>74</v>
      </c>
      <c r="T708" t="s">
        <v>74</v>
      </c>
      <c r="U708" t="s">
        <v>9591</v>
      </c>
      <c r="V708" t="s">
        <v>9592</v>
      </c>
      <c r="W708" t="s">
        <v>9593</v>
      </c>
      <c r="X708" t="s">
        <v>9594</v>
      </c>
      <c r="Y708" t="s">
        <v>9595</v>
      </c>
      <c r="Z708" t="s">
        <v>74</v>
      </c>
      <c r="AA708" t="s">
        <v>5869</v>
      </c>
      <c r="AB708" t="s">
        <v>5870</v>
      </c>
      <c r="AC708" t="s">
        <v>74</v>
      </c>
      <c r="AD708" t="s">
        <v>74</v>
      </c>
      <c r="AE708" t="s">
        <v>74</v>
      </c>
      <c r="AF708" t="s">
        <v>74</v>
      </c>
      <c r="AG708">
        <v>60</v>
      </c>
      <c r="AH708">
        <v>45</v>
      </c>
      <c r="AI708">
        <v>47</v>
      </c>
      <c r="AJ708">
        <v>0</v>
      </c>
      <c r="AK708">
        <v>10</v>
      </c>
      <c r="AL708" t="s">
        <v>4439</v>
      </c>
      <c r="AM708" t="s">
        <v>229</v>
      </c>
      <c r="AN708" t="s">
        <v>4440</v>
      </c>
      <c r="AO708" t="s">
        <v>4441</v>
      </c>
      <c r="AP708" t="s">
        <v>74</v>
      </c>
      <c r="AQ708" t="s">
        <v>74</v>
      </c>
      <c r="AR708" t="s">
        <v>4442</v>
      </c>
      <c r="AS708" t="s">
        <v>4443</v>
      </c>
      <c r="AT708" t="s">
        <v>9154</v>
      </c>
      <c r="AU708">
        <v>1998</v>
      </c>
      <c r="AV708">
        <v>20</v>
      </c>
      <c r="AW708">
        <v>7</v>
      </c>
      <c r="AX708" t="s">
        <v>74</v>
      </c>
      <c r="AY708" t="s">
        <v>74</v>
      </c>
      <c r="AZ708" t="s">
        <v>74</v>
      </c>
      <c r="BA708" t="s">
        <v>74</v>
      </c>
      <c r="BB708">
        <v>1341</v>
      </c>
      <c r="BC708">
        <v>1356</v>
      </c>
      <c r="BD708" t="s">
        <v>74</v>
      </c>
      <c r="BE708" t="s">
        <v>9596</v>
      </c>
      <c r="BF708" t="str">
        <f>HYPERLINK("http://dx.doi.org/10.1093/plankt/20.7.1341","http://dx.doi.org/10.1093/plankt/20.7.1341")</f>
        <v>http://dx.doi.org/10.1093/plankt/20.7.1341</v>
      </c>
      <c r="BG708" t="s">
        <v>74</v>
      </c>
      <c r="BH708" t="s">
        <v>74</v>
      </c>
      <c r="BI708">
        <v>16</v>
      </c>
      <c r="BJ708" t="s">
        <v>1128</v>
      </c>
      <c r="BK708" t="s">
        <v>95</v>
      </c>
      <c r="BL708" t="s">
        <v>1128</v>
      </c>
      <c r="BM708" t="s">
        <v>9597</v>
      </c>
      <c r="BN708" t="s">
        <v>74</v>
      </c>
      <c r="BO708" t="s">
        <v>483</v>
      </c>
      <c r="BP708" t="s">
        <v>74</v>
      </c>
      <c r="BQ708" t="s">
        <v>74</v>
      </c>
      <c r="BR708" t="s">
        <v>98</v>
      </c>
      <c r="BS708" t="s">
        <v>9598</v>
      </c>
      <c r="BT708" t="str">
        <f>HYPERLINK("https%3A%2F%2Fwww.webofscience.com%2Fwos%2Fwoscc%2Ffull-record%2FWOS:000075260000010","View Full Record in Web of Science")</f>
        <v>View Full Record in Web of Science</v>
      </c>
    </row>
    <row r="709" spans="1:72" x14ac:dyDescent="0.15">
      <c r="A709" t="s">
        <v>72</v>
      </c>
      <c r="B709" t="s">
        <v>9599</v>
      </c>
      <c r="C709" t="s">
        <v>74</v>
      </c>
      <c r="D709" t="s">
        <v>74</v>
      </c>
      <c r="E709" t="s">
        <v>74</v>
      </c>
      <c r="F709" t="s">
        <v>9599</v>
      </c>
      <c r="G709" t="s">
        <v>74</v>
      </c>
      <c r="H709" t="s">
        <v>74</v>
      </c>
      <c r="I709" t="s">
        <v>9600</v>
      </c>
      <c r="J709" t="s">
        <v>8565</v>
      </c>
      <c r="K709" t="s">
        <v>74</v>
      </c>
      <c r="L709" t="s">
        <v>74</v>
      </c>
      <c r="M709" t="s">
        <v>77</v>
      </c>
      <c r="N709" t="s">
        <v>103</v>
      </c>
      <c r="O709" t="s">
        <v>74</v>
      </c>
      <c r="P709" t="s">
        <v>74</v>
      </c>
      <c r="Q709" t="s">
        <v>74</v>
      </c>
      <c r="R709" t="s">
        <v>74</v>
      </c>
      <c r="S709" t="s">
        <v>74</v>
      </c>
      <c r="T709" t="s">
        <v>9601</v>
      </c>
      <c r="U709" t="s">
        <v>9602</v>
      </c>
      <c r="V709" t="s">
        <v>9603</v>
      </c>
      <c r="W709" t="s">
        <v>9604</v>
      </c>
      <c r="X709" t="s">
        <v>9605</v>
      </c>
      <c r="Y709" t="s">
        <v>9606</v>
      </c>
      <c r="Z709" t="s">
        <v>74</v>
      </c>
      <c r="AA709" t="s">
        <v>74</v>
      </c>
      <c r="AB709" t="s">
        <v>74</v>
      </c>
      <c r="AC709" t="s">
        <v>74</v>
      </c>
      <c r="AD709" t="s">
        <v>74</v>
      </c>
      <c r="AE709" t="s">
        <v>74</v>
      </c>
      <c r="AF709" t="s">
        <v>74</v>
      </c>
      <c r="AG709">
        <v>50</v>
      </c>
      <c r="AH709">
        <v>4</v>
      </c>
      <c r="AI709">
        <v>4</v>
      </c>
      <c r="AJ709">
        <v>0</v>
      </c>
      <c r="AK709">
        <v>3</v>
      </c>
      <c r="AL709" t="s">
        <v>655</v>
      </c>
      <c r="AM709" t="s">
        <v>656</v>
      </c>
      <c r="AN709" t="s">
        <v>657</v>
      </c>
      <c r="AO709" t="s">
        <v>8573</v>
      </c>
      <c r="AP709" t="s">
        <v>9607</v>
      </c>
      <c r="AQ709" t="s">
        <v>74</v>
      </c>
      <c r="AR709" t="s">
        <v>8574</v>
      </c>
      <c r="AS709" t="s">
        <v>8575</v>
      </c>
      <c r="AT709" t="s">
        <v>9154</v>
      </c>
      <c r="AU709">
        <v>1998</v>
      </c>
      <c r="AV709">
        <v>245</v>
      </c>
      <c r="AW709" t="s">
        <v>74</v>
      </c>
      <c r="AX709">
        <v>3</v>
      </c>
      <c r="AY709" t="s">
        <v>74</v>
      </c>
      <c r="AZ709" t="s">
        <v>74</v>
      </c>
      <c r="BA709" t="s">
        <v>74</v>
      </c>
      <c r="BB709">
        <v>285</v>
      </c>
      <c r="BC709">
        <v>291</v>
      </c>
      <c r="BD709" t="s">
        <v>74</v>
      </c>
      <c r="BE709" t="s">
        <v>74</v>
      </c>
      <c r="BF709" t="s">
        <v>74</v>
      </c>
      <c r="BG709" t="s">
        <v>74</v>
      </c>
      <c r="BH709" t="s">
        <v>74</v>
      </c>
      <c r="BI709">
        <v>7</v>
      </c>
      <c r="BJ709" t="s">
        <v>117</v>
      </c>
      <c r="BK709" t="s">
        <v>95</v>
      </c>
      <c r="BL709" t="s">
        <v>117</v>
      </c>
      <c r="BM709" t="s">
        <v>9608</v>
      </c>
      <c r="BN709" t="s">
        <v>74</v>
      </c>
      <c r="BO709" t="s">
        <v>74</v>
      </c>
      <c r="BP709" t="s">
        <v>74</v>
      </c>
      <c r="BQ709" t="s">
        <v>74</v>
      </c>
      <c r="BR709" t="s">
        <v>98</v>
      </c>
      <c r="BS709" t="s">
        <v>9609</v>
      </c>
      <c r="BT709" t="str">
        <f>HYPERLINK("https%3A%2F%2Fwww.webofscience.com%2Fwos%2Fwoscc%2Ffull-record%2FWOS:000075669600006","View Full Record in Web of Science")</f>
        <v>View Full Record in Web of Science</v>
      </c>
    </row>
    <row r="710" spans="1:72" x14ac:dyDescent="0.15">
      <c r="A710" t="s">
        <v>72</v>
      </c>
      <c r="B710" t="s">
        <v>9610</v>
      </c>
      <c r="C710" t="s">
        <v>74</v>
      </c>
      <c r="D710" t="s">
        <v>74</v>
      </c>
      <c r="E710" t="s">
        <v>74</v>
      </c>
      <c r="F710" t="s">
        <v>9610</v>
      </c>
      <c r="G710" t="s">
        <v>74</v>
      </c>
      <c r="H710" t="s">
        <v>74</v>
      </c>
      <c r="I710" t="s">
        <v>9611</v>
      </c>
      <c r="J710" t="s">
        <v>1842</v>
      </c>
      <c r="K710" t="s">
        <v>74</v>
      </c>
      <c r="L710" t="s">
        <v>74</v>
      </c>
      <c r="M710" t="s">
        <v>77</v>
      </c>
      <c r="N710" t="s">
        <v>103</v>
      </c>
      <c r="O710" t="s">
        <v>74</v>
      </c>
      <c r="P710" t="s">
        <v>74</v>
      </c>
      <c r="Q710" t="s">
        <v>74</v>
      </c>
      <c r="R710" t="s">
        <v>74</v>
      </c>
      <c r="S710" t="s">
        <v>74</v>
      </c>
      <c r="T710" t="s">
        <v>74</v>
      </c>
      <c r="U710" t="s">
        <v>9612</v>
      </c>
      <c r="V710" t="s">
        <v>9613</v>
      </c>
      <c r="W710" t="s">
        <v>508</v>
      </c>
      <c r="X710" t="s">
        <v>509</v>
      </c>
      <c r="Y710" t="s">
        <v>9614</v>
      </c>
      <c r="Z710" t="s">
        <v>74</v>
      </c>
      <c r="AA710" t="s">
        <v>9615</v>
      </c>
      <c r="AB710" t="s">
        <v>9616</v>
      </c>
      <c r="AC710" t="s">
        <v>74</v>
      </c>
      <c r="AD710" t="s">
        <v>74</v>
      </c>
      <c r="AE710" t="s">
        <v>74</v>
      </c>
      <c r="AF710" t="s">
        <v>74</v>
      </c>
      <c r="AG710">
        <v>51</v>
      </c>
      <c r="AH710">
        <v>145</v>
      </c>
      <c r="AI710">
        <v>162</v>
      </c>
      <c r="AJ710">
        <v>1</v>
      </c>
      <c r="AK710">
        <v>30</v>
      </c>
      <c r="AL710" t="s">
        <v>887</v>
      </c>
      <c r="AM710" t="s">
        <v>278</v>
      </c>
      <c r="AN710" t="s">
        <v>888</v>
      </c>
      <c r="AO710" t="s">
        <v>1848</v>
      </c>
      <c r="AP710" t="s">
        <v>74</v>
      </c>
      <c r="AQ710" t="s">
        <v>74</v>
      </c>
      <c r="AR710" t="s">
        <v>1849</v>
      </c>
      <c r="AS710" t="s">
        <v>1850</v>
      </c>
      <c r="AT710" t="s">
        <v>9154</v>
      </c>
      <c r="AU710">
        <v>1998</v>
      </c>
      <c r="AV710">
        <v>131</v>
      </c>
      <c r="AW710">
        <v>4</v>
      </c>
      <c r="AX710" t="s">
        <v>74</v>
      </c>
      <c r="AY710" t="s">
        <v>74</v>
      </c>
      <c r="AZ710" t="s">
        <v>74</v>
      </c>
      <c r="BA710" t="s">
        <v>74</v>
      </c>
      <c r="BB710">
        <v>597</v>
      </c>
      <c r="BC710">
        <v>605</v>
      </c>
      <c r="BD710" t="s">
        <v>74</v>
      </c>
      <c r="BE710" t="s">
        <v>9617</v>
      </c>
      <c r="BF710" t="str">
        <f>HYPERLINK("http://dx.doi.org/10.1007/s002270050351","http://dx.doi.org/10.1007/s002270050351")</f>
        <v>http://dx.doi.org/10.1007/s002270050351</v>
      </c>
      <c r="BG710" t="s">
        <v>74</v>
      </c>
      <c r="BH710" t="s">
        <v>74</v>
      </c>
      <c r="BI710">
        <v>9</v>
      </c>
      <c r="BJ710" t="s">
        <v>212</v>
      </c>
      <c r="BK710" t="s">
        <v>95</v>
      </c>
      <c r="BL710" t="s">
        <v>212</v>
      </c>
      <c r="BM710" t="s">
        <v>9618</v>
      </c>
      <c r="BN710" t="s">
        <v>74</v>
      </c>
      <c r="BO710" t="s">
        <v>74</v>
      </c>
      <c r="BP710" t="s">
        <v>74</v>
      </c>
      <c r="BQ710" t="s">
        <v>74</v>
      </c>
      <c r="BR710" t="s">
        <v>98</v>
      </c>
      <c r="BS710" t="s">
        <v>9619</v>
      </c>
      <c r="BT710" t="str">
        <f>HYPERLINK("https%3A%2F%2Fwww.webofscience.com%2Fwos%2Fwoscc%2Ffull-record%2FWOS:000075309000002","View Full Record in Web of Science")</f>
        <v>View Full Record in Web of Science</v>
      </c>
    </row>
    <row r="711" spans="1:72" x14ac:dyDescent="0.15">
      <c r="A711" t="s">
        <v>72</v>
      </c>
      <c r="B711" t="s">
        <v>9620</v>
      </c>
      <c r="C711" t="s">
        <v>74</v>
      </c>
      <c r="D711" t="s">
        <v>74</v>
      </c>
      <c r="E711" t="s">
        <v>74</v>
      </c>
      <c r="F711" t="s">
        <v>9620</v>
      </c>
      <c r="G711" t="s">
        <v>74</v>
      </c>
      <c r="H711" t="s">
        <v>74</v>
      </c>
      <c r="I711" t="s">
        <v>9621</v>
      </c>
      <c r="J711" t="s">
        <v>1842</v>
      </c>
      <c r="K711" t="s">
        <v>74</v>
      </c>
      <c r="L711" t="s">
        <v>74</v>
      </c>
      <c r="M711" t="s">
        <v>77</v>
      </c>
      <c r="N711" t="s">
        <v>103</v>
      </c>
      <c r="O711" t="s">
        <v>74</v>
      </c>
      <c r="P711" t="s">
        <v>74</v>
      </c>
      <c r="Q711" t="s">
        <v>74</v>
      </c>
      <c r="R711" t="s">
        <v>74</v>
      </c>
      <c r="S711" t="s">
        <v>74</v>
      </c>
      <c r="T711" t="s">
        <v>74</v>
      </c>
      <c r="U711" t="s">
        <v>9622</v>
      </c>
      <c r="V711" t="s">
        <v>9623</v>
      </c>
      <c r="W711" t="s">
        <v>9624</v>
      </c>
      <c r="X711" t="s">
        <v>9625</v>
      </c>
      <c r="Y711" t="s">
        <v>9626</v>
      </c>
      <c r="Z711" t="s">
        <v>74</v>
      </c>
      <c r="AA711" t="s">
        <v>74</v>
      </c>
      <c r="AB711" t="s">
        <v>74</v>
      </c>
      <c r="AC711" t="s">
        <v>74</v>
      </c>
      <c r="AD711" t="s">
        <v>74</v>
      </c>
      <c r="AE711" t="s">
        <v>74</v>
      </c>
      <c r="AF711" t="s">
        <v>74</v>
      </c>
      <c r="AG711">
        <v>44</v>
      </c>
      <c r="AH711">
        <v>28</v>
      </c>
      <c r="AI711">
        <v>29</v>
      </c>
      <c r="AJ711">
        <v>0</v>
      </c>
      <c r="AK711">
        <v>6</v>
      </c>
      <c r="AL711" t="s">
        <v>805</v>
      </c>
      <c r="AM711" t="s">
        <v>278</v>
      </c>
      <c r="AN711" t="s">
        <v>806</v>
      </c>
      <c r="AO711" t="s">
        <v>1848</v>
      </c>
      <c r="AP711" t="s">
        <v>74</v>
      </c>
      <c r="AQ711" t="s">
        <v>74</v>
      </c>
      <c r="AR711" t="s">
        <v>1849</v>
      </c>
      <c r="AS711" t="s">
        <v>1850</v>
      </c>
      <c r="AT711" t="s">
        <v>9154</v>
      </c>
      <c r="AU711">
        <v>1998</v>
      </c>
      <c r="AV711">
        <v>131</v>
      </c>
      <c r="AW711">
        <v>4</v>
      </c>
      <c r="AX711" t="s">
        <v>74</v>
      </c>
      <c r="AY711" t="s">
        <v>74</v>
      </c>
      <c r="AZ711" t="s">
        <v>74</v>
      </c>
      <c r="BA711" t="s">
        <v>74</v>
      </c>
      <c r="BB711">
        <v>647</v>
      </c>
      <c r="BC711">
        <v>658</v>
      </c>
      <c r="BD711" t="s">
        <v>74</v>
      </c>
      <c r="BE711" t="s">
        <v>9627</v>
      </c>
      <c r="BF711" t="str">
        <f>HYPERLINK("http://dx.doi.org/10.1007/s002270050357","http://dx.doi.org/10.1007/s002270050357")</f>
        <v>http://dx.doi.org/10.1007/s002270050357</v>
      </c>
      <c r="BG711" t="s">
        <v>74</v>
      </c>
      <c r="BH711" t="s">
        <v>74</v>
      </c>
      <c r="BI711">
        <v>12</v>
      </c>
      <c r="BJ711" t="s">
        <v>212</v>
      </c>
      <c r="BK711" t="s">
        <v>95</v>
      </c>
      <c r="BL711" t="s">
        <v>212</v>
      </c>
      <c r="BM711" t="s">
        <v>9618</v>
      </c>
      <c r="BN711" t="s">
        <v>74</v>
      </c>
      <c r="BO711" t="s">
        <v>74</v>
      </c>
      <c r="BP711" t="s">
        <v>74</v>
      </c>
      <c r="BQ711" t="s">
        <v>74</v>
      </c>
      <c r="BR711" t="s">
        <v>98</v>
      </c>
      <c r="BS711" t="s">
        <v>9628</v>
      </c>
      <c r="BT711" t="str">
        <f>HYPERLINK("https%3A%2F%2Fwww.webofscience.com%2Fwos%2Fwoscc%2Ffull-record%2FWOS:000075309000008","View Full Record in Web of Science")</f>
        <v>View Full Record in Web of Science</v>
      </c>
    </row>
    <row r="712" spans="1:72" x14ac:dyDescent="0.15">
      <c r="A712" t="s">
        <v>72</v>
      </c>
      <c r="B712" t="s">
        <v>9629</v>
      </c>
      <c r="C712" t="s">
        <v>74</v>
      </c>
      <c r="D712" t="s">
        <v>74</v>
      </c>
      <c r="E712" t="s">
        <v>74</v>
      </c>
      <c r="F712" t="s">
        <v>9629</v>
      </c>
      <c r="G712" t="s">
        <v>74</v>
      </c>
      <c r="H712" t="s">
        <v>74</v>
      </c>
      <c r="I712" t="s">
        <v>9630</v>
      </c>
      <c r="J712" t="s">
        <v>6691</v>
      </c>
      <c r="K712" t="s">
        <v>74</v>
      </c>
      <c r="L712" t="s">
        <v>74</v>
      </c>
      <c r="M712" t="s">
        <v>77</v>
      </c>
      <c r="N712" t="s">
        <v>103</v>
      </c>
      <c r="O712" t="s">
        <v>74</v>
      </c>
      <c r="P712" t="s">
        <v>74</v>
      </c>
      <c r="Q712" t="s">
        <v>74</v>
      </c>
      <c r="R712" t="s">
        <v>74</v>
      </c>
      <c r="S712" t="s">
        <v>74</v>
      </c>
      <c r="T712" t="s">
        <v>74</v>
      </c>
      <c r="U712" t="s">
        <v>74</v>
      </c>
      <c r="V712" t="s">
        <v>74</v>
      </c>
      <c r="W712" t="s">
        <v>9631</v>
      </c>
      <c r="X712" t="s">
        <v>9632</v>
      </c>
      <c r="Y712" t="s">
        <v>9633</v>
      </c>
      <c r="Z712" t="s">
        <v>74</v>
      </c>
      <c r="AA712" t="s">
        <v>74</v>
      </c>
      <c r="AB712" t="s">
        <v>74</v>
      </c>
      <c r="AC712" t="s">
        <v>74</v>
      </c>
      <c r="AD712" t="s">
        <v>74</v>
      </c>
      <c r="AE712" t="s">
        <v>74</v>
      </c>
      <c r="AF712" t="s">
        <v>74</v>
      </c>
      <c r="AG712">
        <v>17</v>
      </c>
      <c r="AH712">
        <v>9</v>
      </c>
      <c r="AI712">
        <v>10</v>
      </c>
      <c r="AJ712">
        <v>0</v>
      </c>
      <c r="AK712">
        <v>3</v>
      </c>
      <c r="AL712" t="s">
        <v>6699</v>
      </c>
      <c r="AM712" t="s">
        <v>4407</v>
      </c>
      <c r="AN712" t="s">
        <v>6700</v>
      </c>
      <c r="AO712" t="s">
        <v>6701</v>
      </c>
      <c r="AP712" t="s">
        <v>74</v>
      </c>
      <c r="AQ712" t="s">
        <v>74</v>
      </c>
      <c r="AR712" t="s">
        <v>6702</v>
      </c>
      <c r="AS712" t="s">
        <v>6703</v>
      </c>
      <c r="AT712" t="s">
        <v>9154</v>
      </c>
      <c r="AU712">
        <v>1998</v>
      </c>
      <c r="AV712">
        <v>14</v>
      </c>
      <c r="AW712">
        <v>3</v>
      </c>
      <c r="AX712" t="s">
        <v>74</v>
      </c>
      <c r="AY712" t="s">
        <v>74</v>
      </c>
      <c r="AZ712" t="s">
        <v>74</v>
      </c>
      <c r="BA712" t="s">
        <v>74</v>
      </c>
      <c r="BB712">
        <v>637</v>
      </c>
      <c r="BC712">
        <v>640</v>
      </c>
      <c r="BD712" t="s">
        <v>74</v>
      </c>
      <c r="BE712" t="s">
        <v>9634</v>
      </c>
      <c r="BF712" t="str">
        <f>HYPERLINK("http://dx.doi.org/10.1111/j.1748-7692.1998.tb00751.x","http://dx.doi.org/10.1111/j.1748-7692.1998.tb00751.x")</f>
        <v>http://dx.doi.org/10.1111/j.1748-7692.1998.tb00751.x</v>
      </c>
      <c r="BG712" t="s">
        <v>74</v>
      </c>
      <c r="BH712" t="s">
        <v>74</v>
      </c>
      <c r="BI712">
        <v>4</v>
      </c>
      <c r="BJ712" t="s">
        <v>1230</v>
      </c>
      <c r="BK712" t="s">
        <v>95</v>
      </c>
      <c r="BL712" t="s">
        <v>1230</v>
      </c>
      <c r="BM712" t="s">
        <v>9635</v>
      </c>
      <c r="BN712" t="s">
        <v>74</v>
      </c>
      <c r="BO712" t="s">
        <v>74</v>
      </c>
      <c r="BP712" t="s">
        <v>74</v>
      </c>
      <c r="BQ712" t="s">
        <v>74</v>
      </c>
      <c r="BR712" t="s">
        <v>98</v>
      </c>
      <c r="BS712" t="s">
        <v>9636</v>
      </c>
      <c r="BT712" t="str">
        <f>HYPERLINK("https%3A%2F%2Fwww.webofscience.com%2Fwos%2Fwoscc%2Ffull-record%2FWOS:000074420500017","View Full Record in Web of Science")</f>
        <v>View Full Record in Web of Science</v>
      </c>
    </row>
    <row r="713" spans="1:72" x14ac:dyDescent="0.15">
      <c r="A713" t="s">
        <v>72</v>
      </c>
      <c r="B713" t="s">
        <v>9637</v>
      </c>
      <c r="C713" t="s">
        <v>74</v>
      </c>
      <c r="D713" t="s">
        <v>74</v>
      </c>
      <c r="E713" t="s">
        <v>74</v>
      </c>
      <c r="F713" t="s">
        <v>9637</v>
      </c>
      <c r="G713" t="s">
        <v>74</v>
      </c>
      <c r="H713" t="s">
        <v>74</v>
      </c>
      <c r="I713" t="s">
        <v>9638</v>
      </c>
      <c r="J713" t="s">
        <v>2236</v>
      </c>
      <c r="K713" t="s">
        <v>74</v>
      </c>
      <c r="L713" t="s">
        <v>74</v>
      </c>
      <c r="M713" t="s">
        <v>77</v>
      </c>
      <c r="N713" t="s">
        <v>78</v>
      </c>
      <c r="O713" t="s">
        <v>74</v>
      </c>
      <c r="P713" t="s">
        <v>74</v>
      </c>
      <c r="Q713" t="s">
        <v>74</v>
      </c>
      <c r="R713" t="s">
        <v>74</v>
      </c>
      <c r="S713" t="s">
        <v>74</v>
      </c>
      <c r="T713" t="s">
        <v>74</v>
      </c>
      <c r="U713" t="s">
        <v>9639</v>
      </c>
      <c r="V713" t="s">
        <v>9640</v>
      </c>
      <c r="W713" t="s">
        <v>9641</v>
      </c>
      <c r="X713" t="s">
        <v>9642</v>
      </c>
      <c r="Y713" t="s">
        <v>9643</v>
      </c>
      <c r="Z713" t="s">
        <v>9644</v>
      </c>
      <c r="AA713" t="s">
        <v>74</v>
      </c>
      <c r="AB713" t="s">
        <v>74</v>
      </c>
      <c r="AC713" t="s">
        <v>74</v>
      </c>
      <c r="AD713" t="s">
        <v>74</v>
      </c>
      <c r="AE713" t="s">
        <v>74</v>
      </c>
      <c r="AF713" t="s">
        <v>74</v>
      </c>
      <c r="AG713">
        <v>125</v>
      </c>
      <c r="AH713">
        <v>178</v>
      </c>
      <c r="AI713">
        <v>184</v>
      </c>
      <c r="AJ713">
        <v>0</v>
      </c>
      <c r="AK713">
        <v>22</v>
      </c>
      <c r="AL713" t="s">
        <v>928</v>
      </c>
      <c r="AM713" t="s">
        <v>656</v>
      </c>
      <c r="AN713" t="s">
        <v>657</v>
      </c>
      <c r="AO713" t="s">
        <v>9645</v>
      </c>
      <c r="AP713" t="s">
        <v>74</v>
      </c>
      <c r="AQ713" t="s">
        <v>74</v>
      </c>
      <c r="AR713" t="s">
        <v>2246</v>
      </c>
      <c r="AS713" t="s">
        <v>2247</v>
      </c>
      <c r="AT713" t="s">
        <v>9154</v>
      </c>
      <c r="AU713">
        <v>1998</v>
      </c>
      <c r="AV713">
        <v>33</v>
      </c>
      <c r="AW713">
        <v>4</v>
      </c>
      <c r="AX713" t="s">
        <v>74</v>
      </c>
      <c r="AY713" t="s">
        <v>74</v>
      </c>
      <c r="AZ713" t="s">
        <v>74</v>
      </c>
      <c r="BA713" t="s">
        <v>74</v>
      </c>
      <c r="BB713">
        <v>565</v>
      </c>
      <c r="BC713">
        <v>580</v>
      </c>
      <c r="BD713" t="s">
        <v>74</v>
      </c>
      <c r="BE713" t="s">
        <v>9646</v>
      </c>
      <c r="BF713" t="str">
        <f>HYPERLINK("http://dx.doi.org/10.1111/j.1945-5100.1998.tb01665.x","http://dx.doi.org/10.1111/j.1945-5100.1998.tb01665.x")</f>
        <v>http://dx.doi.org/10.1111/j.1945-5100.1998.tb01665.x</v>
      </c>
      <c r="BG713" t="s">
        <v>74</v>
      </c>
      <c r="BH713" t="s">
        <v>74</v>
      </c>
      <c r="BI713">
        <v>16</v>
      </c>
      <c r="BJ713" t="s">
        <v>303</v>
      </c>
      <c r="BK713" t="s">
        <v>95</v>
      </c>
      <c r="BL713" t="s">
        <v>303</v>
      </c>
      <c r="BM713" t="s">
        <v>9647</v>
      </c>
      <c r="BN713">
        <v>11543069</v>
      </c>
      <c r="BO713" t="s">
        <v>986</v>
      </c>
      <c r="BP713" t="s">
        <v>74</v>
      </c>
      <c r="BQ713" t="s">
        <v>74</v>
      </c>
      <c r="BR713" t="s">
        <v>98</v>
      </c>
      <c r="BS713" t="s">
        <v>9648</v>
      </c>
      <c r="BT713" t="str">
        <f>HYPERLINK("https%3A%2F%2Fwww.webofscience.com%2Fwos%2Fwoscc%2Ffull-record%2FWOS:000075601500005","View Full Record in Web of Science")</f>
        <v>View Full Record in Web of Science</v>
      </c>
    </row>
    <row r="714" spans="1:72" x14ac:dyDescent="0.15">
      <c r="A714" t="s">
        <v>72</v>
      </c>
      <c r="B714" t="s">
        <v>9649</v>
      </c>
      <c r="C714" t="s">
        <v>74</v>
      </c>
      <c r="D714" t="s">
        <v>74</v>
      </c>
      <c r="E714" t="s">
        <v>74</v>
      </c>
      <c r="F714" t="s">
        <v>9649</v>
      </c>
      <c r="G714" t="s">
        <v>74</v>
      </c>
      <c r="H714" t="s">
        <v>74</v>
      </c>
      <c r="I714" t="s">
        <v>9650</v>
      </c>
      <c r="J714" t="s">
        <v>2236</v>
      </c>
      <c r="K714" t="s">
        <v>74</v>
      </c>
      <c r="L714" t="s">
        <v>74</v>
      </c>
      <c r="M714" t="s">
        <v>77</v>
      </c>
      <c r="N714" t="s">
        <v>103</v>
      </c>
      <c r="O714" t="s">
        <v>74</v>
      </c>
      <c r="P714" t="s">
        <v>74</v>
      </c>
      <c r="Q714" t="s">
        <v>74</v>
      </c>
      <c r="R714" t="s">
        <v>74</v>
      </c>
      <c r="S714" t="s">
        <v>74</v>
      </c>
      <c r="T714" t="s">
        <v>74</v>
      </c>
      <c r="U714" t="s">
        <v>9651</v>
      </c>
      <c r="V714" t="s">
        <v>9652</v>
      </c>
      <c r="W714" t="s">
        <v>9653</v>
      </c>
      <c r="X714" t="s">
        <v>9654</v>
      </c>
      <c r="Y714" t="s">
        <v>9655</v>
      </c>
      <c r="Z714" t="s">
        <v>74</v>
      </c>
      <c r="AA714" t="s">
        <v>74</v>
      </c>
      <c r="AB714" t="s">
        <v>74</v>
      </c>
      <c r="AC714" t="s">
        <v>74</v>
      </c>
      <c r="AD714" t="s">
        <v>74</v>
      </c>
      <c r="AE714" t="s">
        <v>74</v>
      </c>
      <c r="AF714" t="s">
        <v>74</v>
      </c>
      <c r="AG714">
        <v>29</v>
      </c>
      <c r="AH714">
        <v>11</v>
      </c>
      <c r="AI714">
        <v>11</v>
      </c>
      <c r="AJ714">
        <v>0</v>
      </c>
      <c r="AK714">
        <v>0</v>
      </c>
      <c r="AL714" t="s">
        <v>2242</v>
      </c>
      <c r="AM714" t="s">
        <v>2243</v>
      </c>
      <c r="AN714" t="s">
        <v>2244</v>
      </c>
      <c r="AO714" t="s">
        <v>2245</v>
      </c>
      <c r="AP714" t="s">
        <v>74</v>
      </c>
      <c r="AQ714" t="s">
        <v>74</v>
      </c>
      <c r="AR714" t="s">
        <v>2246</v>
      </c>
      <c r="AS714" t="s">
        <v>2247</v>
      </c>
      <c r="AT714" t="s">
        <v>9154</v>
      </c>
      <c r="AU714">
        <v>1998</v>
      </c>
      <c r="AV714">
        <v>33</v>
      </c>
      <c r="AW714">
        <v>4</v>
      </c>
      <c r="AX714" t="s">
        <v>74</v>
      </c>
      <c r="AY714" t="s">
        <v>74</v>
      </c>
      <c r="AZ714" t="s">
        <v>74</v>
      </c>
      <c r="BA714" t="s">
        <v>74</v>
      </c>
      <c r="BB714">
        <v>665</v>
      </c>
      <c r="BC714">
        <v>670</v>
      </c>
      <c r="BD714" t="s">
        <v>74</v>
      </c>
      <c r="BE714" t="s">
        <v>74</v>
      </c>
      <c r="BF714" t="s">
        <v>74</v>
      </c>
      <c r="BG714" t="s">
        <v>74</v>
      </c>
      <c r="BH714" t="s">
        <v>74</v>
      </c>
      <c r="BI714">
        <v>6</v>
      </c>
      <c r="BJ714" t="s">
        <v>303</v>
      </c>
      <c r="BK714" t="s">
        <v>95</v>
      </c>
      <c r="BL714" t="s">
        <v>303</v>
      </c>
      <c r="BM714" t="s">
        <v>9647</v>
      </c>
      <c r="BN714">
        <v>11543071</v>
      </c>
      <c r="BO714" t="s">
        <v>74</v>
      </c>
      <c r="BP714" t="s">
        <v>74</v>
      </c>
      <c r="BQ714" t="s">
        <v>74</v>
      </c>
      <c r="BR714" t="s">
        <v>98</v>
      </c>
      <c r="BS714" t="s">
        <v>9656</v>
      </c>
      <c r="BT714" t="str">
        <f>HYPERLINK("https%3A%2F%2Fwww.webofscience.com%2Fwos%2Fwoscc%2Ffull-record%2FWOS:000075601500011","View Full Record in Web of Science")</f>
        <v>View Full Record in Web of Science</v>
      </c>
    </row>
    <row r="715" spans="1:72" x14ac:dyDescent="0.15">
      <c r="A715" t="s">
        <v>72</v>
      </c>
      <c r="B715" t="s">
        <v>9657</v>
      </c>
      <c r="C715" t="s">
        <v>74</v>
      </c>
      <c r="D715" t="s">
        <v>74</v>
      </c>
      <c r="E715" t="s">
        <v>74</v>
      </c>
      <c r="F715" t="s">
        <v>9657</v>
      </c>
      <c r="G715" t="s">
        <v>74</v>
      </c>
      <c r="H715" t="s">
        <v>74</v>
      </c>
      <c r="I715" t="s">
        <v>9658</v>
      </c>
      <c r="J715" t="s">
        <v>2236</v>
      </c>
      <c r="K715" t="s">
        <v>74</v>
      </c>
      <c r="L715" t="s">
        <v>74</v>
      </c>
      <c r="M715" t="s">
        <v>77</v>
      </c>
      <c r="N715" t="s">
        <v>103</v>
      </c>
      <c r="O715" t="s">
        <v>74</v>
      </c>
      <c r="P715" t="s">
        <v>74</v>
      </c>
      <c r="Q715" t="s">
        <v>74</v>
      </c>
      <c r="R715" t="s">
        <v>74</v>
      </c>
      <c r="S715" t="s">
        <v>74</v>
      </c>
      <c r="T715" t="s">
        <v>74</v>
      </c>
      <c r="U715" t="s">
        <v>9659</v>
      </c>
      <c r="V715" t="s">
        <v>9660</v>
      </c>
      <c r="W715" t="s">
        <v>9661</v>
      </c>
      <c r="X715" t="s">
        <v>9662</v>
      </c>
      <c r="Y715" t="s">
        <v>9663</v>
      </c>
      <c r="Z715" t="s">
        <v>74</v>
      </c>
      <c r="AA715" t="s">
        <v>74</v>
      </c>
      <c r="AB715" t="s">
        <v>74</v>
      </c>
      <c r="AC715" t="s">
        <v>74</v>
      </c>
      <c r="AD715" t="s">
        <v>74</v>
      </c>
      <c r="AE715" t="s">
        <v>74</v>
      </c>
      <c r="AF715" t="s">
        <v>74</v>
      </c>
      <c r="AG715">
        <v>18</v>
      </c>
      <c r="AH715">
        <v>18</v>
      </c>
      <c r="AI715">
        <v>19</v>
      </c>
      <c r="AJ715">
        <v>0</v>
      </c>
      <c r="AK715">
        <v>3</v>
      </c>
      <c r="AL715" t="s">
        <v>2242</v>
      </c>
      <c r="AM715" t="s">
        <v>2243</v>
      </c>
      <c r="AN715" t="s">
        <v>2244</v>
      </c>
      <c r="AO715" t="s">
        <v>2245</v>
      </c>
      <c r="AP715" t="s">
        <v>74</v>
      </c>
      <c r="AQ715" t="s">
        <v>74</v>
      </c>
      <c r="AR715" t="s">
        <v>2246</v>
      </c>
      <c r="AS715" t="s">
        <v>2247</v>
      </c>
      <c r="AT715" t="s">
        <v>9154</v>
      </c>
      <c r="AU715">
        <v>1998</v>
      </c>
      <c r="AV715">
        <v>33</v>
      </c>
      <c r="AW715">
        <v>4</v>
      </c>
      <c r="AX715" t="s">
        <v>74</v>
      </c>
      <c r="AY715" t="s">
        <v>74</v>
      </c>
      <c r="AZ715" t="s">
        <v>74</v>
      </c>
      <c r="BA715" t="s">
        <v>74</v>
      </c>
      <c r="BB715">
        <v>791</v>
      </c>
      <c r="BC715">
        <v>794</v>
      </c>
      <c r="BD715" t="s">
        <v>74</v>
      </c>
      <c r="BE715" t="s">
        <v>9664</v>
      </c>
      <c r="BF715" t="str">
        <f>HYPERLINK("http://dx.doi.org/10.1111/j.1945-5100.1998.tb01685.x","http://dx.doi.org/10.1111/j.1945-5100.1998.tb01685.x")</f>
        <v>http://dx.doi.org/10.1111/j.1945-5100.1998.tb01685.x</v>
      </c>
      <c r="BG715" t="s">
        <v>74</v>
      </c>
      <c r="BH715" t="s">
        <v>74</v>
      </c>
      <c r="BI715">
        <v>4</v>
      </c>
      <c r="BJ715" t="s">
        <v>303</v>
      </c>
      <c r="BK715" t="s">
        <v>95</v>
      </c>
      <c r="BL715" t="s">
        <v>303</v>
      </c>
      <c r="BM715" t="s">
        <v>9647</v>
      </c>
      <c r="BN715">
        <v>11543077</v>
      </c>
      <c r="BO715" t="s">
        <v>1089</v>
      </c>
      <c r="BP715" t="s">
        <v>74</v>
      </c>
      <c r="BQ715" t="s">
        <v>74</v>
      </c>
      <c r="BR715" t="s">
        <v>98</v>
      </c>
      <c r="BS715" t="s">
        <v>9665</v>
      </c>
      <c r="BT715" t="str">
        <f>HYPERLINK("https%3A%2F%2Fwww.webofscience.com%2Fwos%2Fwoscc%2Ffull-record%2FWOS:000075601500025","View Full Record in Web of Science")</f>
        <v>View Full Record in Web of Science</v>
      </c>
    </row>
    <row r="716" spans="1:72" x14ac:dyDescent="0.15">
      <c r="A716" t="s">
        <v>72</v>
      </c>
      <c r="B716" t="s">
        <v>9666</v>
      </c>
      <c r="C716" t="s">
        <v>74</v>
      </c>
      <c r="D716" t="s">
        <v>74</v>
      </c>
      <c r="E716" t="s">
        <v>74</v>
      </c>
      <c r="F716" t="s">
        <v>9666</v>
      </c>
      <c r="G716" t="s">
        <v>74</v>
      </c>
      <c r="H716" t="s">
        <v>74</v>
      </c>
      <c r="I716" t="s">
        <v>9667</v>
      </c>
      <c r="J716" t="s">
        <v>2236</v>
      </c>
      <c r="K716" t="s">
        <v>74</v>
      </c>
      <c r="L716" t="s">
        <v>74</v>
      </c>
      <c r="M716" t="s">
        <v>77</v>
      </c>
      <c r="N716" t="s">
        <v>103</v>
      </c>
      <c r="O716" t="s">
        <v>74</v>
      </c>
      <c r="P716" t="s">
        <v>74</v>
      </c>
      <c r="Q716" t="s">
        <v>74</v>
      </c>
      <c r="R716" t="s">
        <v>74</v>
      </c>
      <c r="S716" t="s">
        <v>74</v>
      </c>
      <c r="T716" t="s">
        <v>74</v>
      </c>
      <c r="U716" t="s">
        <v>9668</v>
      </c>
      <c r="V716" t="s">
        <v>9669</v>
      </c>
      <c r="W716" t="s">
        <v>9670</v>
      </c>
      <c r="X716" t="s">
        <v>9671</v>
      </c>
      <c r="Y716" t="s">
        <v>9672</v>
      </c>
      <c r="Z716" t="s">
        <v>74</v>
      </c>
      <c r="AA716" t="s">
        <v>74</v>
      </c>
      <c r="AB716" t="s">
        <v>74</v>
      </c>
      <c r="AC716" t="s">
        <v>74</v>
      </c>
      <c r="AD716" t="s">
        <v>74</v>
      </c>
      <c r="AE716" t="s">
        <v>74</v>
      </c>
      <c r="AF716" t="s">
        <v>74</v>
      </c>
      <c r="AG716">
        <v>44</v>
      </c>
      <c r="AH716">
        <v>30</v>
      </c>
      <c r="AI716">
        <v>30</v>
      </c>
      <c r="AJ716">
        <v>0</v>
      </c>
      <c r="AK716">
        <v>0</v>
      </c>
      <c r="AL716" t="s">
        <v>2242</v>
      </c>
      <c r="AM716" t="s">
        <v>2243</v>
      </c>
      <c r="AN716" t="s">
        <v>2244</v>
      </c>
      <c r="AO716" t="s">
        <v>2245</v>
      </c>
      <c r="AP716" t="s">
        <v>74</v>
      </c>
      <c r="AQ716" t="s">
        <v>74</v>
      </c>
      <c r="AR716" t="s">
        <v>2246</v>
      </c>
      <c r="AS716" t="s">
        <v>2247</v>
      </c>
      <c r="AT716" t="s">
        <v>9154</v>
      </c>
      <c r="AU716">
        <v>1998</v>
      </c>
      <c r="AV716">
        <v>33</v>
      </c>
      <c r="AW716">
        <v>4</v>
      </c>
      <c r="AX716" t="s">
        <v>74</v>
      </c>
      <c r="AY716" t="s">
        <v>74</v>
      </c>
      <c r="AZ716" t="s">
        <v>74</v>
      </c>
      <c r="BA716" t="s">
        <v>74</v>
      </c>
      <c r="BB716">
        <v>857</v>
      </c>
      <c r="BC716">
        <v>870</v>
      </c>
      <c r="BD716" t="s">
        <v>74</v>
      </c>
      <c r="BE716" t="s">
        <v>9673</v>
      </c>
      <c r="BF716" t="str">
        <f>HYPERLINK("http://dx.doi.org/10.1111/j.1945-5100.1998.tb01692.x","http://dx.doi.org/10.1111/j.1945-5100.1998.tb01692.x")</f>
        <v>http://dx.doi.org/10.1111/j.1945-5100.1998.tb01692.x</v>
      </c>
      <c r="BG716" t="s">
        <v>74</v>
      </c>
      <c r="BH716" t="s">
        <v>74</v>
      </c>
      <c r="BI716">
        <v>14</v>
      </c>
      <c r="BJ716" t="s">
        <v>303</v>
      </c>
      <c r="BK716" t="s">
        <v>95</v>
      </c>
      <c r="BL716" t="s">
        <v>303</v>
      </c>
      <c r="BM716" t="s">
        <v>9647</v>
      </c>
      <c r="BN716" t="s">
        <v>74</v>
      </c>
      <c r="BO716" t="s">
        <v>1089</v>
      </c>
      <c r="BP716" t="s">
        <v>74</v>
      </c>
      <c r="BQ716" t="s">
        <v>74</v>
      </c>
      <c r="BR716" t="s">
        <v>98</v>
      </c>
      <c r="BS716" t="s">
        <v>9674</v>
      </c>
      <c r="BT716" t="str">
        <f>HYPERLINK("https%3A%2F%2Fwww.webofscience.com%2Fwos%2Fwoscc%2Ffull-record%2FWOS:000075601500032","View Full Record in Web of Science")</f>
        <v>View Full Record in Web of Science</v>
      </c>
    </row>
    <row r="717" spans="1:72" x14ac:dyDescent="0.15">
      <c r="A717" t="s">
        <v>72</v>
      </c>
      <c r="B717" t="s">
        <v>9675</v>
      </c>
      <c r="C717" t="s">
        <v>74</v>
      </c>
      <c r="D717" t="s">
        <v>74</v>
      </c>
      <c r="E717" t="s">
        <v>74</v>
      </c>
      <c r="F717" t="s">
        <v>9675</v>
      </c>
      <c r="G717" t="s">
        <v>74</v>
      </c>
      <c r="H717" t="s">
        <v>74</v>
      </c>
      <c r="I717" t="s">
        <v>9676</v>
      </c>
      <c r="J717" t="s">
        <v>2236</v>
      </c>
      <c r="K717" t="s">
        <v>74</v>
      </c>
      <c r="L717" t="s">
        <v>74</v>
      </c>
      <c r="M717" t="s">
        <v>77</v>
      </c>
      <c r="N717" t="s">
        <v>52</v>
      </c>
      <c r="O717" t="s">
        <v>74</v>
      </c>
      <c r="P717" t="s">
        <v>74</v>
      </c>
      <c r="Q717" t="s">
        <v>74</v>
      </c>
      <c r="R717" t="s">
        <v>74</v>
      </c>
      <c r="S717" t="s">
        <v>74</v>
      </c>
      <c r="T717" t="s">
        <v>74</v>
      </c>
      <c r="U717" t="s">
        <v>74</v>
      </c>
      <c r="V717" t="s">
        <v>74</v>
      </c>
      <c r="W717" t="s">
        <v>9677</v>
      </c>
      <c r="X717" t="s">
        <v>9642</v>
      </c>
      <c r="Y717" t="s">
        <v>74</v>
      </c>
      <c r="Z717" t="s">
        <v>74</v>
      </c>
      <c r="AA717" t="s">
        <v>74</v>
      </c>
      <c r="AB717" t="s">
        <v>74</v>
      </c>
      <c r="AC717" t="s">
        <v>74</v>
      </c>
      <c r="AD717" t="s">
        <v>74</v>
      </c>
      <c r="AE717" t="s">
        <v>74</v>
      </c>
      <c r="AF717" t="s">
        <v>74</v>
      </c>
      <c r="AG717">
        <v>5</v>
      </c>
      <c r="AH717">
        <v>4</v>
      </c>
      <c r="AI717">
        <v>4</v>
      </c>
      <c r="AJ717">
        <v>0</v>
      </c>
      <c r="AK717">
        <v>1</v>
      </c>
      <c r="AL717" t="s">
        <v>2242</v>
      </c>
      <c r="AM717" t="s">
        <v>2243</v>
      </c>
      <c r="AN717" t="s">
        <v>2244</v>
      </c>
      <c r="AO717" t="s">
        <v>2245</v>
      </c>
      <c r="AP717" t="s">
        <v>74</v>
      </c>
      <c r="AQ717" t="s">
        <v>74</v>
      </c>
      <c r="AR717" t="s">
        <v>2246</v>
      </c>
      <c r="AS717" t="s">
        <v>2247</v>
      </c>
      <c r="AT717" t="s">
        <v>9154</v>
      </c>
      <c r="AU717">
        <v>1998</v>
      </c>
      <c r="AV717">
        <v>33</v>
      </c>
      <c r="AW717">
        <v>4</v>
      </c>
      <c r="AX717" t="s">
        <v>74</v>
      </c>
      <c r="AY717" t="s">
        <v>215</v>
      </c>
      <c r="AZ717" t="s">
        <v>74</v>
      </c>
      <c r="BA717" t="s">
        <v>74</v>
      </c>
      <c r="BB717" t="s">
        <v>9678</v>
      </c>
      <c r="BC717" t="s">
        <v>9678</v>
      </c>
      <c r="BD717" t="s">
        <v>74</v>
      </c>
      <c r="BE717" t="s">
        <v>74</v>
      </c>
      <c r="BF717" t="s">
        <v>74</v>
      </c>
      <c r="BG717" t="s">
        <v>74</v>
      </c>
      <c r="BH717" t="s">
        <v>74</v>
      </c>
      <c r="BI717">
        <v>1</v>
      </c>
      <c r="BJ717" t="s">
        <v>303</v>
      </c>
      <c r="BK717" t="s">
        <v>95</v>
      </c>
      <c r="BL717" t="s">
        <v>303</v>
      </c>
      <c r="BM717" t="s">
        <v>9679</v>
      </c>
      <c r="BN717" t="s">
        <v>74</v>
      </c>
      <c r="BO717" t="s">
        <v>74</v>
      </c>
      <c r="BP717" t="s">
        <v>74</v>
      </c>
      <c r="BQ717" t="s">
        <v>74</v>
      </c>
      <c r="BR717" t="s">
        <v>98</v>
      </c>
      <c r="BS717" t="s">
        <v>9680</v>
      </c>
      <c r="BT717" t="str">
        <f>HYPERLINK("https%3A%2F%2Fwww.webofscience.com%2Fwos%2Fwoscc%2Ffull-record%2FWOS:000075778000107","View Full Record in Web of Science")</f>
        <v>View Full Record in Web of Science</v>
      </c>
    </row>
    <row r="718" spans="1:72" x14ac:dyDescent="0.15">
      <c r="A718" t="s">
        <v>72</v>
      </c>
      <c r="B718" t="s">
        <v>9681</v>
      </c>
      <c r="C718" t="s">
        <v>74</v>
      </c>
      <c r="D718" t="s">
        <v>74</v>
      </c>
      <c r="E718" t="s">
        <v>74</v>
      </c>
      <c r="F718" t="s">
        <v>9681</v>
      </c>
      <c r="G718" t="s">
        <v>74</v>
      </c>
      <c r="H718" t="s">
        <v>74</v>
      </c>
      <c r="I718" t="s">
        <v>9682</v>
      </c>
      <c r="J718" t="s">
        <v>2236</v>
      </c>
      <c r="K718" t="s">
        <v>74</v>
      </c>
      <c r="L718" t="s">
        <v>74</v>
      </c>
      <c r="M718" t="s">
        <v>77</v>
      </c>
      <c r="N718" t="s">
        <v>52</v>
      </c>
      <c r="O718" t="s">
        <v>74</v>
      </c>
      <c r="P718" t="s">
        <v>74</v>
      </c>
      <c r="Q718" t="s">
        <v>74</v>
      </c>
      <c r="R718" t="s">
        <v>74</v>
      </c>
      <c r="S718" t="s">
        <v>74</v>
      </c>
      <c r="T718" t="s">
        <v>74</v>
      </c>
      <c r="U718" t="s">
        <v>74</v>
      </c>
      <c r="V718" t="s">
        <v>74</v>
      </c>
      <c r="W718" t="s">
        <v>9683</v>
      </c>
      <c r="X718" t="s">
        <v>9684</v>
      </c>
      <c r="Y718" t="s">
        <v>74</v>
      </c>
      <c r="Z718" t="s">
        <v>74</v>
      </c>
      <c r="AA718" t="s">
        <v>74</v>
      </c>
      <c r="AB718" t="s">
        <v>74</v>
      </c>
      <c r="AC718" t="s">
        <v>74</v>
      </c>
      <c r="AD718" t="s">
        <v>74</v>
      </c>
      <c r="AE718" t="s">
        <v>74</v>
      </c>
      <c r="AF718" t="s">
        <v>74</v>
      </c>
      <c r="AG718">
        <v>3</v>
      </c>
      <c r="AH718">
        <v>0</v>
      </c>
      <c r="AI718">
        <v>0</v>
      </c>
      <c r="AJ718">
        <v>0</v>
      </c>
      <c r="AK718">
        <v>0</v>
      </c>
      <c r="AL718" t="s">
        <v>2242</v>
      </c>
      <c r="AM718" t="s">
        <v>2243</v>
      </c>
      <c r="AN718" t="s">
        <v>2244</v>
      </c>
      <c r="AO718" t="s">
        <v>2245</v>
      </c>
      <c r="AP718" t="s">
        <v>74</v>
      </c>
      <c r="AQ718" t="s">
        <v>74</v>
      </c>
      <c r="AR718" t="s">
        <v>2246</v>
      </c>
      <c r="AS718" t="s">
        <v>2247</v>
      </c>
      <c r="AT718" t="s">
        <v>9154</v>
      </c>
      <c r="AU718">
        <v>1998</v>
      </c>
      <c r="AV718">
        <v>33</v>
      </c>
      <c r="AW718">
        <v>4</v>
      </c>
      <c r="AX718" t="s">
        <v>74</v>
      </c>
      <c r="AY718" t="s">
        <v>215</v>
      </c>
      <c r="AZ718" t="s">
        <v>74</v>
      </c>
      <c r="BA718" t="s">
        <v>74</v>
      </c>
      <c r="BB718" t="s">
        <v>9685</v>
      </c>
      <c r="BC718" t="s">
        <v>9686</v>
      </c>
      <c r="BD718" t="s">
        <v>74</v>
      </c>
      <c r="BE718" t="s">
        <v>74</v>
      </c>
      <c r="BF718" t="s">
        <v>74</v>
      </c>
      <c r="BG718" t="s">
        <v>74</v>
      </c>
      <c r="BH718" t="s">
        <v>74</v>
      </c>
      <c r="BI718">
        <v>2</v>
      </c>
      <c r="BJ718" t="s">
        <v>303</v>
      </c>
      <c r="BK718" t="s">
        <v>95</v>
      </c>
      <c r="BL718" t="s">
        <v>303</v>
      </c>
      <c r="BM718" t="s">
        <v>9679</v>
      </c>
      <c r="BN718" t="s">
        <v>74</v>
      </c>
      <c r="BO718" t="s">
        <v>74</v>
      </c>
      <c r="BP718" t="s">
        <v>74</v>
      </c>
      <c r="BQ718" t="s">
        <v>74</v>
      </c>
      <c r="BR718" t="s">
        <v>98</v>
      </c>
      <c r="BS718" t="s">
        <v>9687</v>
      </c>
      <c r="BT718" t="str">
        <f>HYPERLINK("https%3A%2F%2Fwww.webofscience.com%2Fwos%2Fwoscc%2Ffull-record%2FWOS:000075778000131","View Full Record in Web of Science")</f>
        <v>View Full Record in Web of Science</v>
      </c>
    </row>
    <row r="719" spans="1:72" x14ac:dyDescent="0.15">
      <c r="A719" t="s">
        <v>72</v>
      </c>
      <c r="B719" t="s">
        <v>9688</v>
      </c>
      <c r="C719" t="s">
        <v>74</v>
      </c>
      <c r="D719" t="s">
        <v>74</v>
      </c>
      <c r="E719" t="s">
        <v>74</v>
      </c>
      <c r="F719" t="s">
        <v>9688</v>
      </c>
      <c r="G719" t="s">
        <v>74</v>
      </c>
      <c r="H719" t="s">
        <v>74</v>
      </c>
      <c r="I719" t="s">
        <v>9689</v>
      </c>
      <c r="J719" t="s">
        <v>2236</v>
      </c>
      <c r="K719" t="s">
        <v>74</v>
      </c>
      <c r="L719" t="s">
        <v>74</v>
      </c>
      <c r="M719" t="s">
        <v>77</v>
      </c>
      <c r="N719" t="s">
        <v>52</v>
      </c>
      <c r="O719" t="s">
        <v>74</v>
      </c>
      <c r="P719" t="s">
        <v>74</v>
      </c>
      <c r="Q719" t="s">
        <v>74</v>
      </c>
      <c r="R719" t="s">
        <v>74</v>
      </c>
      <c r="S719" t="s">
        <v>74</v>
      </c>
      <c r="T719" t="s">
        <v>74</v>
      </c>
      <c r="U719" t="s">
        <v>74</v>
      </c>
      <c r="V719" t="s">
        <v>74</v>
      </c>
      <c r="W719" t="s">
        <v>9690</v>
      </c>
      <c r="X719" t="s">
        <v>9691</v>
      </c>
      <c r="Y719" t="s">
        <v>74</v>
      </c>
      <c r="Z719" t="s">
        <v>74</v>
      </c>
      <c r="AA719" t="s">
        <v>74</v>
      </c>
      <c r="AB719" t="s">
        <v>74</v>
      </c>
      <c r="AC719" t="s">
        <v>74</v>
      </c>
      <c r="AD719" t="s">
        <v>74</v>
      </c>
      <c r="AE719" t="s">
        <v>74</v>
      </c>
      <c r="AF719" t="s">
        <v>74</v>
      </c>
      <c r="AG719">
        <v>0</v>
      </c>
      <c r="AH719">
        <v>4</v>
      </c>
      <c r="AI719">
        <v>4</v>
      </c>
      <c r="AJ719">
        <v>0</v>
      </c>
      <c r="AK719">
        <v>0</v>
      </c>
      <c r="AL719" t="s">
        <v>2242</v>
      </c>
      <c r="AM719" t="s">
        <v>2243</v>
      </c>
      <c r="AN719" t="s">
        <v>2244</v>
      </c>
      <c r="AO719" t="s">
        <v>2245</v>
      </c>
      <c r="AP719" t="s">
        <v>74</v>
      </c>
      <c r="AQ719" t="s">
        <v>74</v>
      </c>
      <c r="AR719" t="s">
        <v>2246</v>
      </c>
      <c r="AS719" t="s">
        <v>2247</v>
      </c>
      <c r="AT719" t="s">
        <v>9154</v>
      </c>
      <c r="AU719">
        <v>1998</v>
      </c>
      <c r="AV719">
        <v>33</v>
      </c>
      <c r="AW719">
        <v>4</v>
      </c>
      <c r="AX719" t="s">
        <v>74</v>
      </c>
      <c r="AY719" t="s">
        <v>215</v>
      </c>
      <c r="AZ719" t="s">
        <v>74</v>
      </c>
      <c r="BA719" t="s">
        <v>74</v>
      </c>
      <c r="BB719" t="s">
        <v>9692</v>
      </c>
      <c r="BC719" t="s">
        <v>9693</v>
      </c>
      <c r="BD719" t="s">
        <v>74</v>
      </c>
      <c r="BE719" t="s">
        <v>74</v>
      </c>
      <c r="BF719" t="s">
        <v>74</v>
      </c>
      <c r="BG719" t="s">
        <v>74</v>
      </c>
      <c r="BH719" t="s">
        <v>74</v>
      </c>
      <c r="BI719">
        <v>2</v>
      </c>
      <c r="BJ719" t="s">
        <v>303</v>
      </c>
      <c r="BK719" t="s">
        <v>95</v>
      </c>
      <c r="BL719" t="s">
        <v>303</v>
      </c>
      <c r="BM719" t="s">
        <v>9679</v>
      </c>
      <c r="BN719" t="s">
        <v>74</v>
      </c>
      <c r="BO719" t="s">
        <v>74</v>
      </c>
      <c r="BP719" t="s">
        <v>74</v>
      </c>
      <c r="BQ719" t="s">
        <v>74</v>
      </c>
      <c r="BR719" t="s">
        <v>98</v>
      </c>
      <c r="BS719" t="s">
        <v>9694</v>
      </c>
      <c r="BT719" t="str">
        <f>HYPERLINK("https%3A%2F%2Fwww.webofscience.com%2Fwos%2Fwoscc%2Ffull-record%2FWOS:000075778000143","View Full Record in Web of Science")</f>
        <v>View Full Record in Web of Science</v>
      </c>
    </row>
    <row r="720" spans="1:72" x14ac:dyDescent="0.15">
      <c r="A720" t="s">
        <v>72</v>
      </c>
      <c r="B720" t="s">
        <v>9695</v>
      </c>
      <c r="C720" t="s">
        <v>74</v>
      </c>
      <c r="D720" t="s">
        <v>74</v>
      </c>
      <c r="E720" t="s">
        <v>74</v>
      </c>
      <c r="F720" t="s">
        <v>9695</v>
      </c>
      <c r="G720" t="s">
        <v>74</v>
      </c>
      <c r="H720" t="s">
        <v>74</v>
      </c>
      <c r="I720" t="s">
        <v>9696</v>
      </c>
      <c r="J720" t="s">
        <v>2236</v>
      </c>
      <c r="K720" t="s">
        <v>74</v>
      </c>
      <c r="L720" t="s">
        <v>74</v>
      </c>
      <c r="M720" t="s">
        <v>77</v>
      </c>
      <c r="N720" t="s">
        <v>123</v>
      </c>
      <c r="O720" t="s">
        <v>9697</v>
      </c>
      <c r="P720" t="s">
        <v>9698</v>
      </c>
      <c r="Q720" t="s">
        <v>9699</v>
      </c>
      <c r="R720" t="s">
        <v>74</v>
      </c>
      <c r="S720" t="s">
        <v>9700</v>
      </c>
      <c r="T720" t="s">
        <v>74</v>
      </c>
      <c r="U720" t="s">
        <v>9701</v>
      </c>
      <c r="V720" t="s">
        <v>9702</v>
      </c>
      <c r="W720" t="s">
        <v>9703</v>
      </c>
      <c r="X720" t="s">
        <v>9704</v>
      </c>
      <c r="Y720" t="s">
        <v>9705</v>
      </c>
      <c r="Z720" t="s">
        <v>9706</v>
      </c>
      <c r="AA720" t="s">
        <v>74</v>
      </c>
      <c r="AB720" t="s">
        <v>9707</v>
      </c>
      <c r="AC720" t="s">
        <v>74</v>
      </c>
      <c r="AD720" t="s">
        <v>74</v>
      </c>
      <c r="AE720" t="s">
        <v>74</v>
      </c>
      <c r="AF720" t="s">
        <v>74</v>
      </c>
      <c r="AG720">
        <v>247</v>
      </c>
      <c r="AH720">
        <v>97</v>
      </c>
      <c r="AI720">
        <v>110</v>
      </c>
      <c r="AJ720">
        <v>0</v>
      </c>
      <c r="AK720">
        <v>14</v>
      </c>
      <c r="AL720" t="s">
        <v>2242</v>
      </c>
      <c r="AM720" t="s">
        <v>2243</v>
      </c>
      <c r="AN720" t="s">
        <v>2244</v>
      </c>
      <c r="AO720" t="s">
        <v>2245</v>
      </c>
      <c r="AP720" t="s">
        <v>74</v>
      </c>
      <c r="AQ720" t="s">
        <v>74</v>
      </c>
      <c r="AR720" t="s">
        <v>2246</v>
      </c>
      <c r="AS720" t="s">
        <v>2247</v>
      </c>
      <c r="AT720" t="s">
        <v>9154</v>
      </c>
      <c r="AU720">
        <v>1998</v>
      </c>
      <c r="AV720">
        <v>33</v>
      </c>
      <c r="AW720">
        <v>4</v>
      </c>
      <c r="AX720" t="s">
        <v>74</v>
      </c>
      <c r="AY720" t="s">
        <v>215</v>
      </c>
      <c r="AZ720" t="s">
        <v>74</v>
      </c>
      <c r="BA720" t="s">
        <v>74</v>
      </c>
      <c r="BB720" t="s">
        <v>9708</v>
      </c>
      <c r="BC720" t="s">
        <v>9709</v>
      </c>
      <c r="BD720" t="s">
        <v>74</v>
      </c>
      <c r="BE720" t="s">
        <v>9710</v>
      </c>
      <c r="BF720" t="str">
        <f>HYPERLINK("http://dx.doi.org/10.1111/j.1945-5100.1998.tb01334.x","http://dx.doi.org/10.1111/j.1945-5100.1998.tb01334.x")</f>
        <v>http://dx.doi.org/10.1111/j.1945-5100.1998.tb01334.x</v>
      </c>
      <c r="BG720" t="s">
        <v>74</v>
      </c>
      <c r="BH720" t="s">
        <v>74</v>
      </c>
      <c r="BI720">
        <v>17</v>
      </c>
      <c r="BJ720" t="s">
        <v>303</v>
      </c>
      <c r="BK720" t="s">
        <v>235</v>
      </c>
      <c r="BL720" t="s">
        <v>303</v>
      </c>
      <c r="BM720" t="s">
        <v>9679</v>
      </c>
      <c r="BN720" t="s">
        <v>74</v>
      </c>
      <c r="BO720" t="s">
        <v>74</v>
      </c>
      <c r="BP720" t="s">
        <v>74</v>
      </c>
      <c r="BQ720" t="s">
        <v>74</v>
      </c>
      <c r="BR720" t="s">
        <v>98</v>
      </c>
      <c r="BS720" t="s">
        <v>9711</v>
      </c>
      <c r="BT720" t="str">
        <f>HYPERLINK("https%3A%2F%2Fwww.webofscience.com%2Fwos%2Fwoscc%2Ffull-record%2FWOS:000075778000321","View Full Record in Web of Science")</f>
        <v>View Full Record in Web of Science</v>
      </c>
    </row>
    <row r="721" spans="1:72" x14ac:dyDescent="0.15">
      <c r="A721" t="s">
        <v>72</v>
      </c>
      <c r="B721" t="s">
        <v>9712</v>
      </c>
      <c r="C721" t="s">
        <v>74</v>
      </c>
      <c r="D721" t="s">
        <v>74</v>
      </c>
      <c r="E721" t="s">
        <v>74</v>
      </c>
      <c r="F721" t="s">
        <v>9712</v>
      </c>
      <c r="G721" t="s">
        <v>74</v>
      </c>
      <c r="H721" t="s">
        <v>74</v>
      </c>
      <c r="I721" t="s">
        <v>9713</v>
      </c>
      <c r="J721" t="s">
        <v>2236</v>
      </c>
      <c r="K721" t="s">
        <v>74</v>
      </c>
      <c r="L721" t="s">
        <v>74</v>
      </c>
      <c r="M721" t="s">
        <v>77</v>
      </c>
      <c r="N721" t="s">
        <v>52</v>
      </c>
      <c r="O721" t="s">
        <v>74</v>
      </c>
      <c r="P721" t="s">
        <v>74</v>
      </c>
      <c r="Q721" t="s">
        <v>74</v>
      </c>
      <c r="R721" t="s">
        <v>74</v>
      </c>
      <c r="S721" t="s">
        <v>74</v>
      </c>
      <c r="T721" t="s">
        <v>74</v>
      </c>
      <c r="U721" t="s">
        <v>74</v>
      </c>
      <c r="V721" t="s">
        <v>74</v>
      </c>
      <c r="W721" t="s">
        <v>9714</v>
      </c>
      <c r="X721" t="s">
        <v>9715</v>
      </c>
      <c r="Y721" t="s">
        <v>74</v>
      </c>
      <c r="Z721" t="s">
        <v>74</v>
      </c>
      <c r="AA721" t="s">
        <v>74</v>
      </c>
      <c r="AB721" t="s">
        <v>74</v>
      </c>
      <c r="AC721" t="s">
        <v>74</v>
      </c>
      <c r="AD721" t="s">
        <v>74</v>
      </c>
      <c r="AE721" t="s">
        <v>74</v>
      </c>
      <c r="AF721" t="s">
        <v>74</v>
      </c>
      <c r="AG721">
        <v>8</v>
      </c>
      <c r="AH721">
        <v>2</v>
      </c>
      <c r="AI721">
        <v>2</v>
      </c>
      <c r="AJ721">
        <v>0</v>
      </c>
      <c r="AK721">
        <v>0</v>
      </c>
      <c r="AL721" t="s">
        <v>2242</v>
      </c>
      <c r="AM721" t="s">
        <v>2243</v>
      </c>
      <c r="AN721" t="s">
        <v>2244</v>
      </c>
      <c r="AO721" t="s">
        <v>2245</v>
      </c>
      <c r="AP721" t="s">
        <v>74</v>
      </c>
      <c r="AQ721" t="s">
        <v>74</v>
      </c>
      <c r="AR721" t="s">
        <v>2246</v>
      </c>
      <c r="AS721" t="s">
        <v>2247</v>
      </c>
      <c r="AT721" t="s">
        <v>9154</v>
      </c>
      <c r="AU721">
        <v>1998</v>
      </c>
      <c r="AV721">
        <v>33</v>
      </c>
      <c r="AW721">
        <v>4</v>
      </c>
      <c r="AX721" t="s">
        <v>74</v>
      </c>
      <c r="AY721" t="s">
        <v>215</v>
      </c>
      <c r="AZ721" t="s">
        <v>74</v>
      </c>
      <c r="BA721" t="s">
        <v>74</v>
      </c>
      <c r="BB721" t="s">
        <v>9716</v>
      </c>
      <c r="BC721" t="s">
        <v>9717</v>
      </c>
      <c r="BD721" t="s">
        <v>74</v>
      </c>
      <c r="BE721" t="s">
        <v>74</v>
      </c>
      <c r="BF721" t="s">
        <v>74</v>
      </c>
      <c r="BG721" t="s">
        <v>74</v>
      </c>
      <c r="BH721" t="s">
        <v>74</v>
      </c>
      <c r="BI721">
        <v>2</v>
      </c>
      <c r="BJ721" t="s">
        <v>303</v>
      </c>
      <c r="BK721" t="s">
        <v>95</v>
      </c>
      <c r="BL721" t="s">
        <v>303</v>
      </c>
      <c r="BM721" t="s">
        <v>9679</v>
      </c>
      <c r="BN721" t="s">
        <v>74</v>
      </c>
      <c r="BO721" t="s">
        <v>74</v>
      </c>
      <c r="BP721" t="s">
        <v>74</v>
      </c>
      <c r="BQ721" t="s">
        <v>74</v>
      </c>
      <c r="BR721" t="s">
        <v>98</v>
      </c>
      <c r="BS721" t="s">
        <v>9718</v>
      </c>
      <c r="BT721" t="str">
        <f>HYPERLINK("https%3A%2F%2Fwww.webofscience.com%2Fwos%2Fwoscc%2Ffull-record%2FWOS:000075778000212","View Full Record in Web of Science")</f>
        <v>View Full Record in Web of Science</v>
      </c>
    </row>
    <row r="722" spans="1:72" x14ac:dyDescent="0.15">
      <c r="A722" t="s">
        <v>72</v>
      </c>
      <c r="B722" t="s">
        <v>9719</v>
      </c>
      <c r="C722" t="s">
        <v>74</v>
      </c>
      <c r="D722" t="s">
        <v>74</v>
      </c>
      <c r="E722" t="s">
        <v>74</v>
      </c>
      <c r="F722" t="s">
        <v>9719</v>
      </c>
      <c r="G722" t="s">
        <v>74</v>
      </c>
      <c r="H722" t="s">
        <v>74</v>
      </c>
      <c r="I722" t="s">
        <v>9720</v>
      </c>
      <c r="J722" t="s">
        <v>2236</v>
      </c>
      <c r="K722" t="s">
        <v>74</v>
      </c>
      <c r="L722" t="s">
        <v>74</v>
      </c>
      <c r="M722" t="s">
        <v>77</v>
      </c>
      <c r="N722" t="s">
        <v>52</v>
      </c>
      <c r="O722" t="s">
        <v>74</v>
      </c>
      <c r="P722" t="s">
        <v>74</v>
      </c>
      <c r="Q722" t="s">
        <v>74</v>
      </c>
      <c r="R722" t="s">
        <v>74</v>
      </c>
      <c r="S722" t="s">
        <v>74</v>
      </c>
      <c r="T722" t="s">
        <v>74</v>
      </c>
      <c r="U722" t="s">
        <v>74</v>
      </c>
      <c r="V722" t="s">
        <v>74</v>
      </c>
      <c r="W722" t="s">
        <v>9721</v>
      </c>
      <c r="X722" t="s">
        <v>9722</v>
      </c>
      <c r="Y722" t="s">
        <v>74</v>
      </c>
      <c r="Z722" t="s">
        <v>74</v>
      </c>
      <c r="AA722" t="s">
        <v>9723</v>
      </c>
      <c r="AB722" t="s">
        <v>9724</v>
      </c>
      <c r="AC722" t="s">
        <v>74</v>
      </c>
      <c r="AD722" t="s">
        <v>74</v>
      </c>
      <c r="AE722" t="s">
        <v>74</v>
      </c>
      <c r="AF722" t="s">
        <v>74</v>
      </c>
      <c r="AG722">
        <v>5</v>
      </c>
      <c r="AH722">
        <v>2</v>
      </c>
      <c r="AI722">
        <v>2</v>
      </c>
      <c r="AJ722">
        <v>0</v>
      </c>
      <c r="AK722">
        <v>0</v>
      </c>
      <c r="AL722" t="s">
        <v>655</v>
      </c>
      <c r="AM722" t="s">
        <v>656</v>
      </c>
      <c r="AN722" t="s">
        <v>657</v>
      </c>
      <c r="AO722" t="s">
        <v>9645</v>
      </c>
      <c r="AP722" t="s">
        <v>9725</v>
      </c>
      <c r="AQ722" t="s">
        <v>74</v>
      </c>
      <c r="AR722" t="s">
        <v>2246</v>
      </c>
      <c r="AS722" t="s">
        <v>2247</v>
      </c>
      <c r="AT722" t="s">
        <v>9154</v>
      </c>
      <c r="AU722">
        <v>1998</v>
      </c>
      <c r="AV722">
        <v>33</v>
      </c>
      <c r="AW722">
        <v>4</v>
      </c>
      <c r="AX722" t="s">
        <v>74</v>
      </c>
      <c r="AY722" t="s">
        <v>215</v>
      </c>
      <c r="AZ722" t="s">
        <v>74</v>
      </c>
      <c r="BA722" t="s">
        <v>74</v>
      </c>
      <c r="BB722" t="s">
        <v>9726</v>
      </c>
      <c r="BC722" t="s">
        <v>9726</v>
      </c>
      <c r="BD722" t="s">
        <v>74</v>
      </c>
      <c r="BE722" t="s">
        <v>74</v>
      </c>
      <c r="BF722" t="s">
        <v>74</v>
      </c>
      <c r="BG722" t="s">
        <v>74</v>
      </c>
      <c r="BH722" t="s">
        <v>74</v>
      </c>
      <c r="BI722">
        <v>1</v>
      </c>
      <c r="BJ722" t="s">
        <v>303</v>
      </c>
      <c r="BK722" t="s">
        <v>95</v>
      </c>
      <c r="BL722" t="s">
        <v>303</v>
      </c>
      <c r="BM722" t="s">
        <v>9679</v>
      </c>
      <c r="BN722" t="s">
        <v>74</v>
      </c>
      <c r="BO722" t="s">
        <v>74</v>
      </c>
      <c r="BP722" t="s">
        <v>74</v>
      </c>
      <c r="BQ722" t="s">
        <v>74</v>
      </c>
      <c r="BR722" t="s">
        <v>98</v>
      </c>
      <c r="BS722" t="s">
        <v>9727</v>
      </c>
      <c r="BT722" t="str">
        <f>HYPERLINK("https%3A%2F%2Fwww.webofscience.com%2Fwos%2Fwoscc%2Ffull-record%2FWOS:000075778000272","View Full Record in Web of Science")</f>
        <v>View Full Record in Web of Science</v>
      </c>
    </row>
    <row r="723" spans="1:72" x14ac:dyDescent="0.15">
      <c r="A723" t="s">
        <v>72</v>
      </c>
      <c r="B723" t="s">
        <v>9728</v>
      </c>
      <c r="C723" t="s">
        <v>74</v>
      </c>
      <c r="D723" t="s">
        <v>74</v>
      </c>
      <c r="E723" t="s">
        <v>74</v>
      </c>
      <c r="F723" t="s">
        <v>9728</v>
      </c>
      <c r="G723" t="s">
        <v>74</v>
      </c>
      <c r="H723" t="s">
        <v>74</v>
      </c>
      <c r="I723" t="s">
        <v>9729</v>
      </c>
      <c r="J723" t="s">
        <v>2236</v>
      </c>
      <c r="K723" t="s">
        <v>74</v>
      </c>
      <c r="L723" t="s">
        <v>74</v>
      </c>
      <c r="M723" t="s">
        <v>77</v>
      </c>
      <c r="N723" t="s">
        <v>52</v>
      </c>
      <c r="O723" t="s">
        <v>74</v>
      </c>
      <c r="P723" t="s">
        <v>74</v>
      </c>
      <c r="Q723" t="s">
        <v>74</v>
      </c>
      <c r="R723" t="s">
        <v>74</v>
      </c>
      <c r="S723" t="s">
        <v>74</v>
      </c>
      <c r="T723" t="s">
        <v>74</v>
      </c>
      <c r="U723" t="s">
        <v>74</v>
      </c>
      <c r="V723" t="s">
        <v>74</v>
      </c>
      <c r="W723" t="s">
        <v>2239</v>
      </c>
      <c r="X723" t="s">
        <v>1142</v>
      </c>
      <c r="Y723" t="s">
        <v>74</v>
      </c>
      <c r="Z723" t="s">
        <v>74</v>
      </c>
      <c r="AA723" t="s">
        <v>74</v>
      </c>
      <c r="AB723" t="s">
        <v>74</v>
      </c>
      <c r="AC723" t="s">
        <v>74</v>
      </c>
      <c r="AD723" t="s">
        <v>74</v>
      </c>
      <c r="AE723" t="s">
        <v>74</v>
      </c>
      <c r="AF723" t="s">
        <v>74</v>
      </c>
      <c r="AG723">
        <v>4</v>
      </c>
      <c r="AH723">
        <v>2</v>
      </c>
      <c r="AI723">
        <v>2</v>
      </c>
      <c r="AJ723">
        <v>0</v>
      </c>
      <c r="AK723">
        <v>0</v>
      </c>
      <c r="AL723" t="s">
        <v>2242</v>
      </c>
      <c r="AM723" t="s">
        <v>2243</v>
      </c>
      <c r="AN723" t="s">
        <v>2244</v>
      </c>
      <c r="AO723" t="s">
        <v>2245</v>
      </c>
      <c r="AP723" t="s">
        <v>74</v>
      </c>
      <c r="AQ723" t="s">
        <v>74</v>
      </c>
      <c r="AR723" t="s">
        <v>2246</v>
      </c>
      <c r="AS723" t="s">
        <v>2247</v>
      </c>
      <c r="AT723" t="s">
        <v>9154</v>
      </c>
      <c r="AU723">
        <v>1998</v>
      </c>
      <c r="AV723">
        <v>33</v>
      </c>
      <c r="AW723">
        <v>4</v>
      </c>
      <c r="AX723" t="s">
        <v>74</v>
      </c>
      <c r="AY723" t="s">
        <v>215</v>
      </c>
      <c r="AZ723" t="s">
        <v>74</v>
      </c>
      <c r="BA723" t="s">
        <v>74</v>
      </c>
      <c r="BB723" t="s">
        <v>9730</v>
      </c>
      <c r="BC723" t="s">
        <v>9731</v>
      </c>
      <c r="BD723" t="s">
        <v>74</v>
      </c>
      <c r="BE723" t="s">
        <v>74</v>
      </c>
      <c r="BF723" t="s">
        <v>74</v>
      </c>
      <c r="BG723" t="s">
        <v>74</v>
      </c>
      <c r="BH723" t="s">
        <v>74</v>
      </c>
      <c r="BI723">
        <v>2</v>
      </c>
      <c r="BJ723" t="s">
        <v>303</v>
      </c>
      <c r="BK723" t="s">
        <v>95</v>
      </c>
      <c r="BL723" t="s">
        <v>303</v>
      </c>
      <c r="BM723" t="s">
        <v>9679</v>
      </c>
      <c r="BN723" t="s">
        <v>74</v>
      </c>
      <c r="BO723" t="s">
        <v>74</v>
      </c>
      <c r="BP723" t="s">
        <v>74</v>
      </c>
      <c r="BQ723" t="s">
        <v>74</v>
      </c>
      <c r="BR723" t="s">
        <v>98</v>
      </c>
      <c r="BS723" t="s">
        <v>9732</v>
      </c>
      <c r="BT723" t="str">
        <f>HYPERLINK("https%3A%2F%2Fwww.webofscience.com%2Fwos%2Fwoscc%2Ffull-record%2FWOS:000075778000300","View Full Record in Web of Science")</f>
        <v>View Full Record in Web of Science</v>
      </c>
    </row>
    <row r="724" spans="1:72" x14ac:dyDescent="0.15">
      <c r="A724" t="s">
        <v>72</v>
      </c>
      <c r="B724" t="s">
        <v>9733</v>
      </c>
      <c r="C724" t="s">
        <v>74</v>
      </c>
      <c r="D724" t="s">
        <v>74</v>
      </c>
      <c r="E724" t="s">
        <v>74</v>
      </c>
      <c r="F724" t="s">
        <v>9733</v>
      </c>
      <c r="G724" t="s">
        <v>74</v>
      </c>
      <c r="H724" t="s">
        <v>74</v>
      </c>
      <c r="I724" t="s">
        <v>9734</v>
      </c>
      <c r="J724" t="s">
        <v>9735</v>
      </c>
      <c r="K724" t="s">
        <v>74</v>
      </c>
      <c r="L724" t="s">
        <v>74</v>
      </c>
      <c r="M724" t="s">
        <v>77</v>
      </c>
      <c r="N724" t="s">
        <v>103</v>
      </c>
      <c r="O724" t="s">
        <v>74</v>
      </c>
      <c r="P724" t="s">
        <v>74</v>
      </c>
      <c r="Q724" t="s">
        <v>74</v>
      </c>
      <c r="R724" t="s">
        <v>74</v>
      </c>
      <c r="S724" t="s">
        <v>74</v>
      </c>
      <c r="T724" t="s">
        <v>9736</v>
      </c>
      <c r="U724" t="s">
        <v>7607</v>
      </c>
      <c r="V724" t="s">
        <v>9737</v>
      </c>
      <c r="W724" t="s">
        <v>1165</v>
      </c>
      <c r="X724" t="s">
        <v>1166</v>
      </c>
      <c r="Y724" t="s">
        <v>9738</v>
      </c>
      <c r="Z724" t="s">
        <v>74</v>
      </c>
      <c r="AA724" t="s">
        <v>74</v>
      </c>
      <c r="AB724" t="s">
        <v>74</v>
      </c>
      <c r="AC724" t="s">
        <v>74</v>
      </c>
      <c r="AD724" t="s">
        <v>74</v>
      </c>
      <c r="AE724" t="s">
        <v>74</v>
      </c>
      <c r="AF724" t="s">
        <v>74</v>
      </c>
      <c r="AG724">
        <v>21</v>
      </c>
      <c r="AH724">
        <v>91</v>
      </c>
      <c r="AI724">
        <v>100</v>
      </c>
      <c r="AJ724">
        <v>1</v>
      </c>
      <c r="AK724">
        <v>17</v>
      </c>
      <c r="AL724" t="s">
        <v>9739</v>
      </c>
      <c r="AM724" t="s">
        <v>278</v>
      </c>
      <c r="AN724" t="s">
        <v>9740</v>
      </c>
      <c r="AO724" t="s">
        <v>9741</v>
      </c>
      <c r="AP724" t="s">
        <v>74</v>
      </c>
      <c r="AQ724" t="s">
        <v>74</v>
      </c>
      <c r="AR724" t="s">
        <v>9742</v>
      </c>
      <c r="AS724" t="s">
        <v>5766</v>
      </c>
      <c r="AT724" t="s">
        <v>9324</v>
      </c>
      <c r="AU724">
        <v>1998</v>
      </c>
      <c r="AV724">
        <v>67</v>
      </c>
      <c r="AW724">
        <v>4</v>
      </c>
      <c r="AX724" t="s">
        <v>74</v>
      </c>
      <c r="AY724" t="s">
        <v>74</v>
      </c>
      <c r="AZ724" t="s">
        <v>74</v>
      </c>
      <c r="BA724" t="s">
        <v>74</v>
      </c>
      <c r="BB724">
        <v>451</v>
      </c>
      <c r="BC724">
        <v>458</v>
      </c>
      <c r="BD724" t="s">
        <v>74</v>
      </c>
      <c r="BE724" t="s">
        <v>74</v>
      </c>
      <c r="BF724" t="s">
        <v>74</v>
      </c>
      <c r="BG724" t="s">
        <v>74</v>
      </c>
      <c r="BH724" t="s">
        <v>74</v>
      </c>
      <c r="BI724">
        <v>8</v>
      </c>
      <c r="BJ724" t="s">
        <v>5766</v>
      </c>
      <c r="BK724" t="s">
        <v>95</v>
      </c>
      <c r="BL724" t="s">
        <v>5766</v>
      </c>
      <c r="BM724" t="s">
        <v>9743</v>
      </c>
      <c r="BN724" t="s">
        <v>74</v>
      </c>
      <c r="BO724" t="s">
        <v>74</v>
      </c>
      <c r="BP724" t="s">
        <v>74</v>
      </c>
      <c r="BQ724" t="s">
        <v>74</v>
      </c>
      <c r="BR724" t="s">
        <v>98</v>
      </c>
      <c r="BS724" t="s">
        <v>9744</v>
      </c>
      <c r="BT724" t="str">
        <f>HYPERLINK("https%3A%2F%2Fwww.webofscience.com%2Fwos%2Fwoscc%2Ffull-record%2FWOS:000075522000017","View Full Record in Web of Science")</f>
        <v>View Full Record in Web of Science</v>
      </c>
    </row>
    <row r="725" spans="1:72" x14ac:dyDescent="0.15">
      <c r="A725" t="s">
        <v>72</v>
      </c>
      <c r="B725" t="s">
        <v>9745</v>
      </c>
      <c r="C725" t="s">
        <v>74</v>
      </c>
      <c r="D725" t="s">
        <v>74</v>
      </c>
      <c r="E725" t="s">
        <v>74</v>
      </c>
      <c r="F725" t="s">
        <v>9745</v>
      </c>
      <c r="G725" t="s">
        <v>74</v>
      </c>
      <c r="H725" t="s">
        <v>74</v>
      </c>
      <c r="I725" t="s">
        <v>9746</v>
      </c>
      <c r="J725" t="s">
        <v>9747</v>
      </c>
      <c r="K725" t="s">
        <v>74</v>
      </c>
      <c r="L725" t="s">
        <v>74</v>
      </c>
      <c r="M725" t="s">
        <v>77</v>
      </c>
      <c r="N725" t="s">
        <v>103</v>
      </c>
      <c r="O725" t="s">
        <v>74</v>
      </c>
      <c r="P725" t="s">
        <v>74</v>
      </c>
      <c r="Q725" t="s">
        <v>74</v>
      </c>
      <c r="R725" t="s">
        <v>74</v>
      </c>
      <c r="S725" t="s">
        <v>74</v>
      </c>
      <c r="T725" t="s">
        <v>9748</v>
      </c>
      <c r="U725" t="s">
        <v>74</v>
      </c>
      <c r="V725" t="s">
        <v>9749</v>
      </c>
      <c r="W725" t="s">
        <v>9750</v>
      </c>
      <c r="X725" t="s">
        <v>9751</v>
      </c>
      <c r="Y725" t="s">
        <v>9752</v>
      </c>
      <c r="Z725" t="s">
        <v>74</v>
      </c>
      <c r="AA725" t="s">
        <v>74</v>
      </c>
      <c r="AB725" t="s">
        <v>74</v>
      </c>
      <c r="AC725" t="s">
        <v>74</v>
      </c>
      <c r="AD725" t="s">
        <v>74</v>
      </c>
      <c r="AE725" t="s">
        <v>74</v>
      </c>
      <c r="AF725" t="s">
        <v>74</v>
      </c>
      <c r="AG725">
        <v>35</v>
      </c>
      <c r="AH725">
        <v>1</v>
      </c>
      <c r="AI725">
        <v>1</v>
      </c>
      <c r="AJ725">
        <v>0</v>
      </c>
      <c r="AK725">
        <v>7</v>
      </c>
      <c r="AL725" t="s">
        <v>9753</v>
      </c>
      <c r="AM725" t="s">
        <v>9754</v>
      </c>
      <c r="AN725" t="s">
        <v>9755</v>
      </c>
      <c r="AO725" t="s">
        <v>9756</v>
      </c>
      <c r="AP725" t="s">
        <v>74</v>
      </c>
      <c r="AQ725" t="s">
        <v>74</v>
      </c>
      <c r="AR725" t="s">
        <v>9757</v>
      </c>
      <c r="AS725" t="s">
        <v>9758</v>
      </c>
      <c r="AT725" t="s">
        <v>9759</v>
      </c>
      <c r="AU725">
        <v>1998</v>
      </c>
      <c r="AV725">
        <v>29</v>
      </c>
      <c r="AW725">
        <v>3</v>
      </c>
      <c r="AX725" t="s">
        <v>74</v>
      </c>
      <c r="AY725" t="s">
        <v>74</v>
      </c>
      <c r="AZ725" t="s">
        <v>74</v>
      </c>
      <c r="BA725" t="s">
        <v>74</v>
      </c>
      <c r="BB725">
        <v>265</v>
      </c>
      <c r="BC725">
        <v>290</v>
      </c>
      <c r="BD725" t="s">
        <v>74</v>
      </c>
      <c r="BE725" t="s">
        <v>9760</v>
      </c>
      <c r="BF725" t="str">
        <f>HYPERLINK("http://dx.doi.org/10.1080/00908329809546126","http://dx.doi.org/10.1080/00908329809546126")</f>
        <v>http://dx.doi.org/10.1080/00908329809546126</v>
      </c>
      <c r="BG725" t="s">
        <v>74</v>
      </c>
      <c r="BH725" t="s">
        <v>74</v>
      </c>
      <c r="BI725">
        <v>26</v>
      </c>
      <c r="BJ725" t="s">
        <v>9761</v>
      </c>
      <c r="BK725" t="s">
        <v>3394</v>
      </c>
      <c r="BL725" t="s">
        <v>9762</v>
      </c>
      <c r="BM725" t="s">
        <v>9763</v>
      </c>
      <c r="BN725" t="s">
        <v>74</v>
      </c>
      <c r="BO725" t="s">
        <v>74</v>
      </c>
      <c r="BP725" t="s">
        <v>74</v>
      </c>
      <c r="BQ725" t="s">
        <v>74</v>
      </c>
      <c r="BR725" t="s">
        <v>98</v>
      </c>
      <c r="BS725" t="s">
        <v>9764</v>
      </c>
      <c r="BT725" t="str">
        <f>HYPERLINK("https%3A%2F%2Fwww.webofscience.com%2Fwos%2Fwoscc%2Ffull-record%2FWOS:000075888500003","View Full Record in Web of Science")</f>
        <v>View Full Record in Web of Science</v>
      </c>
    </row>
    <row r="726" spans="1:72" x14ac:dyDescent="0.15">
      <c r="A726" t="s">
        <v>72</v>
      </c>
      <c r="B726" t="s">
        <v>9765</v>
      </c>
      <c r="C726" t="s">
        <v>74</v>
      </c>
      <c r="D726" t="s">
        <v>74</v>
      </c>
      <c r="E726" t="s">
        <v>74</v>
      </c>
      <c r="F726" t="s">
        <v>9765</v>
      </c>
      <c r="G726" t="s">
        <v>74</v>
      </c>
      <c r="H726" t="s">
        <v>74</v>
      </c>
      <c r="I726" t="s">
        <v>9766</v>
      </c>
      <c r="J726" t="s">
        <v>6740</v>
      </c>
      <c r="K726" t="s">
        <v>74</v>
      </c>
      <c r="L726" t="s">
        <v>74</v>
      </c>
      <c r="M726" t="s">
        <v>77</v>
      </c>
      <c r="N726" t="s">
        <v>103</v>
      </c>
      <c r="O726" t="s">
        <v>74</v>
      </c>
      <c r="P726" t="s">
        <v>74</v>
      </c>
      <c r="Q726" t="s">
        <v>74</v>
      </c>
      <c r="R726" t="s">
        <v>74</v>
      </c>
      <c r="S726" t="s">
        <v>74</v>
      </c>
      <c r="T726" t="s">
        <v>9767</v>
      </c>
      <c r="U726" t="s">
        <v>9768</v>
      </c>
      <c r="V726" t="s">
        <v>9769</v>
      </c>
      <c r="W726" t="s">
        <v>9770</v>
      </c>
      <c r="X726" t="s">
        <v>9771</v>
      </c>
      <c r="Y726" t="s">
        <v>9772</v>
      </c>
      <c r="Z726" t="s">
        <v>9773</v>
      </c>
      <c r="AA726" t="s">
        <v>9774</v>
      </c>
      <c r="AB726" t="s">
        <v>9775</v>
      </c>
      <c r="AC726" t="s">
        <v>74</v>
      </c>
      <c r="AD726" t="s">
        <v>74</v>
      </c>
      <c r="AE726" t="s">
        <v>74</v>
      </c>
      <c r="AF726" t="s">
        <v>74</v>
      </c>
      <c r="AG726">
        <v>89</v>
      </c>
      <c r="AH726">
        <v>90</v>
      </c>
      <c r="AI726">
        <v>95</v>
      </c>
      <c r="AJ726">
        <v>1</v>
      </c>
      <c r="AK726">
        <v>22</v>
      </c>
      <c r="AL726" t="s">
        <v>887</v>
      </c>
      <c r="AM726" t="s">
        <v>278</v>
      </c>
      <c r="AN726" t="s">
        <v>888</v>
      </c>
      <c r="AO726" t="s">
        <v>6749</v>
      </c>
      <c r="AP726" t="s">
        <v>74</v>
      </c>
      <c r="AQ726" t="s">
        <v>74</v>
      </c>
      <c r="AR726" t="s">
        <v>6740</v>
      </c>
      <c r="AS726" t="s">
        <v>6750</v>
      </c>
      <c r="AT726" t="s">
        <v>9154</v>
      </c>
      <c r="AU726">
        <v>1998</v>
      </c>
      <c r="AV726">
        <v>115</v>
      </c>
      <c r="AW726">
        <v>3</v>
      </c>
      <c r="AX726" t="s">
        <v>74</v>
      </c>
      <c r="AY726" t="s">
        <v>74</v>
      </c>
      <c r="AZ726" t="s">
        <v>74</v>
      </c>
      <c r="BA726" t="s">
        <v>74</v>
      </c>
      <c r="BB726">
        <v>312</v>
      </c>
      <c r="BC726">
        <v>319</v>
      </c>
      <c r="BD726" t="s">
        <v>74</v>
      </c>
      <c r="BE726" t="s">
        <v>9776</v>
      </c>
      <c r="BF726" t="str">
        <f>HYPERLINK("http://dx.doi.org/10.1007/s004420050522","http://dx.doi.org/10.1007/s004420050522")</f>
        <v>http://dx.doi.org/10.1007/s004420050522</v>
      </c>
      <c r="BG726" t="s">
        <v>74</v>
      </c>
      <c r="BH726" t="s">
        <v>74</v>
      </c>
      <c r="BI726">
        <v>8</v>
      </c>
      <c r="BJ726" t="s">
        <v>660</v>
      </c>
      <c r="BK726" t="s">
        <v>95</v>
      </c>
      <c r="BL726" t="s">
        <v>661</v>
      </c>
      <c r="BM726" t="s">
        <v>9777</v>
      </c>
      <c r="BN726">
        <v>28308421</v>
      </c>
      <c r="BO726" t="s">
        <v>74</v>
      </c>
      <c r="BP726" t="s">
        <v>74</v>
      </c>
      <c r="BQ726" t="s">
        <v>74</v>
      </c>
      <c r="BR726" t="s">
        <v>98</v>
      </c>
      <c r="BS726" t="s">
        <v>9778</v>
      </c>
      <c r="BT726" t="str">
        <f>HYPERLINK("https%3A%2F%2Fwww.webofscience.com%2Fwos%2Fwoscc%2Ffull-record%2FWOS:000074877400004","View Full Record in Web of Science")</f>
        <v>View Full Record in Web of Science</v>
      </c>
    </row>
    <row r="727" spans="1:72" x14ac:dyDescent="0.15">
      <c r="A727" t="s">
        <v>72</v>
      </c>
      <c r="B727" t="s">
        <v>9779</v>
      </c>
      <c r="C727" t="s">
        <v>74</v>
      </c>
      <c r="D727" t="s">
        <v>74</v>
      </c>
      <c r="E727" t="s">
        <v>74</v>
      </c>
      <c r="F727" t="s">
        <v>9779</v>
      </c>
      <c r="G727" t="s">
        <v>74</v>
      </c>
      <c r="H727" t="s">
        <v>74</v>
      </c>
      <c r="I727" t="s">
        <v>9780</v>
      </c>
      <c r="J727" t="s">
        <v>2509</v>
      </c>
      <c r="K727" t="s">
        <v>74</v>
      </c>
      <c r="L727" t="s">
        <v>74</v>
      </c>
      <c r="M727" t="s">
        <v>2510</v>
      </c>
      <c r="N727" t="s">
        <v>103</v>
      </c>
      <c r="O727" t="s">
        <v>74</v>
      </c>
      <c r="P727" t="s">
        <v>74</v>
      </c>
      <c r="Q727" t="s">
        <v>74</v>
      </c>
      <c r="R727" t="s">
        <v>74</v>
      </c>
      <c r="S727" t="s">
        <v>74</v>
      </c>
      <c r="T727" t="s">
        <v>74</v>
      </c>
      <c r="U727" t="s">
        <v>9781</v>
      </c>
      <c r="V727" t="s">
        <v>9782</v>
      </c>
      <c r="W727" t="s">
        <v>9783</v>
      </c>
      <c r="X727" t="s">
        <v>9784</v>
      </c>
      <c r="Y727" t="s">
        <v>2514</v>
      </c>
      <c r="Z727" t="s">
        <v>74</v>
      </c>
      <c r="AA727" t="s">
        <v>9785</v>
      </c>
      <c r="AB727" t="s">
        <v>74</v>
      </c>
      <c r="AC727" t="s">
        <v>74</v>
      </c>
      <c r="AD727" t="s">
        <v>74</v>
      </c>
      <c r="AE727" t="s">
        <v>74</v>
      </c>
      <c r="AF727" t="s">
        <v>74</v>
      </c>
      <c r="AG727">
        <v>26</v>
      </c>
      <c r="AH727">
        <v>4</v>
      </c>
      <c r="AI727">
        <v>6</v>
      </c>
      <c r="AJ727">
        <v>0</v>
      </c>
      <c r="AK727">
        <v>3</v>
      </c>
      <c r="AL727" t="s">
        <v>2517</v>
      </c>
      <c r="AM727" t="s">
        <v>2518</v>
      </c>
      <c r="AN727" t="s">
        <v>2519</v>
      </c>
      <c r="AO727" t="s">
        <v>2520</v>
      </c>
      <c r="AP727" t="s">
        <v>74</v>
      </c>
      <c r="AQ727" t="s">
        <v>74</v>
      </c>
      <c r="AR727" t="s">
        <v>2521</v>
      </c>
      <c r="AS727" t="s">
        <v>2522</v>
      </c>
      <c r="AT727" t="s">
        <v>9324</v>
      </c>
      <c r="AU727">
        <v>1998</v>
      </c>
      <c r="AV727">
        <v>38</v>
      </c>
      <c r="AW727">
        <v>4</v>
      </c>
      <c r="AX727" t="s">
        <v>74</v>
      </c>
      <c r="AY727" t="s">
        <v>74</v>
      </c>
      <c r="AZ727" t="s">
        <v>74</v>
      </c>
      <c r="BA727" t="s">
        <v>74</v>
      </c>
      <c r="BB727">
        <v>485</v>
      </c>
      <c r="BC727">
        <v>495</v>
      </c>
      <c r="BD727" t="s">
        <v>74</v>
      </c>
      <c r="BE727" t="s">
        <v>74</v>
      </c>
      <c r="BF727" t="s">
        <v>74</v>
      </c>
      <c r="BG727" t="s">
        <v>74</v>
      </c>
      <c r="BH727" t="s">
        <v>74</v>
      </c>
      <c r="BI727">
        <v>11</v>
      </c>
      <c r="BJ727" t="s">
        <v>451</v>
      </c>
      <c r="BK727" t="s">
        <v>95</v>
      </c>
      <c r="BL727" t="s">
        <v>451</v>
      </c>
      <c r="BM727" t="s">
        <v>9786</v>
      </c>
      <c r="BN727" t="s">
        <v>74</v>
      </c>
      <c r="BO727" t="s">
        <v>74</v>
      </c>
      <c r="BP727" t="s">
        <v>74</v>
      </c>
      <c r="BQ727" t="s">
        <v>74</v>
      </c>
      <c r="BR727" t="s">
        <v>98</v>
      </c>
      <c r="BS727" t="s">
        <v>9787</v>
      </c>
      <c r="BT727" t="str">
        <f>HYPERLINK("https%3A%2F%2Fwww.webofscience.com%2Fwos%2Fwoscc%2Ffull-record%2FWOS:000076159500001","View Full Record in Web of Science")</f>
        <v>View Full Record in Web of Science</v>
      </c>
    </row>
    <row r="728" spans="1:72" x14ac:dyDescent="0.15">
      <c r="A728" t="s">
        <v>72</v>
      </c>
      <c r="B728" t="s">
        <v>9788</v>
      </c>
      <c r="C728" t="s">
        <v>74</v>
      </c>
      <c r="D728" t="s">
        <v>74</v>
      </c>
      <c r="E728" t="s">
        <v>74</v>
      </c>
      <c r="F728" t="s">
        <v>9788</v>
      </c>
      <c r="G728" t="s">
        <v>74</v>
      </c>
      <c r="H728" t="s">
        <v>74</v>
      </c>
      <c r="I728" t="s">
        <v>9789</v>
      </c>
      <c r="J728" t="s">
        <v>2509</v>
      </c>
      <c r="K728" t="s">
        <v>74</v>
      </c>
      <c r="L728" t="s">
        <v>74</v>
      </c>
      <c r="M728" t="s">
        <v>2510</v>
      </c>
      <c r="N728" t="s">
        <v>103</v>
      </c>
      <c r="O728" t="s">
        <v>74</v>
      </c>
      <c r="P728" t="s">
        <v>74</v>
      </c>
      <c r="Q728" t="s">
        <v>74</v>
      </c>
      <c r="R728" t="s">
        <v>74</v>
      </c>
      <c r="S728" t="s">
        <v>74</v>
      </c>
      <c r="T728" t="s">
        <v>74</v>
      </c>
      <c r="U728" t="s">
        <v>9790</v>
      </c>
      <c r="V728" t="s">
        <v>9791</v>
      </c>
      <c r="W728" t="s">
        <v>2512</v>
      </c>
      <c r="X728" t="s">
        <v>2513</v>
      </c>
      <c r="Y728" t="s">
        <v>9792</v>
      </c>
      <c r="Z728" t="s">
        <v>74</v>
      </c>
      <c r="AA728" t="s">
        <v>74</v>
      </c>
      <c r="AB728" t="s">
        <v>74</v>
      </c>
      <c r="AC728" t="s">
        <v>74</v>
      </c>
      <c r="AD728" t="s">
        <v>74</v>
      </c>
      <c r="AE728" t="s">
        <v>74</v>
      </c>
      <c r="AF728" t="s">
        <v>74</v>
      </c>
      <c r="AG728">
        <v>27</v>
      </c>
      <c r="AH728">
        <v>8</v>
      </c>
      <c r="AI728">
        <v>9</v>
      </c>
      <c r="AJ728">
        <v>0</v>
      </c>
      <c r="AK728">
        <v>3</v>
      </c>
      <c r="AL728" t="s">
        <v>2517</v>
      </c>
      <c r="AM728" t="s">
        <v>2518</v>
      </c>
      <c r="AN728" t="s">
        <v>2519</v>
      </c>
      <c r="AO728" t="s">
        <v>2520</v>
      </c>
      <c r="AP728" t="s">
        <v>74</v>
      </c>
      <c r="AQ728" t="s">
        <v>74</v>
      </c>
      <c r="AR728" t="s">
        <v>2521</v>
      </c>
      <c r="AS728" t="s">
        <v>2522</v>
      </c>
      <c r="AT728" t="s">
        <v>9324</v>
      </c>
      <c r="AU728">
        <v>1998</v>
      </c>
      <c r="AV728">
        <v>38</v>
      </c>
      <c r="AW728">
        <v>4</v>
      </c>
      <c r="AX728" t="s">
        <v>74</v>
      </c>
      <c r="AY728" t="s">
        <v>74</v>
      </c>
      <c r="AZ728" t="s">
        <v>74</v>
      </c>
      <c r="BA728" t="s">
        <v>74</v>
      </c>
      <c r="BB728">
        <v>561</v>
      </c>
      <c r="BC728">
        <v>567</v>
      </c>
      <c r="BD728" t="s">
        <v>74</v>
      </c>
      <c r="BE728" t="s">
        <v>74</v>
      </c>
      <c r="BF728" t="s">
        <v>74</v>
      </c>
      <c r="BG728" t="s">
        <v>74</v>
      </c>
      <c r="BH728" t="s">
        <v>74</v>
      </c>
      <c r="BI728">
        <v>7</v>
      </c>
      <c r="BJ728" t="s">
        <v>451</v>
      </c>
      <c r="BK728" t="s">
        <v>95</v>
      </c>
      <c r="BL728" t="s">
        <v>451</v>
      </c>
      <c r="BM728" t="s">
        <v>9786</v>
      </c>
      <c r="BN728" t="s">
        <v>74</v>
      </c>
      <c r="BO728" t="s">
        <v>74</v>
      </c>
      <c r="BP728" t="s">
        <v>74</v>
      </c>
      <c r="BQ728" t="s">
        <v>74</v>
      </c>
      <c r="BR728" t="s">
        <v>98</v>
      </c>
      <c r="BS728" t="s">
        <v>9793</v>
      </c>
      <c r="BT728" t="str">
        <f>HYPERLINK("https%3A%2F%2Fwww.webofscience.com%2Fwos%2Fwoscc%2Ffull-record%2FWOS:000076159500012","View Full Record in Web of Science")</f>
        <v>View Full Record in Web of Science</v>
      </c>
    </row>
    <row r="729" spans="1:72" x14ac:dyDescent="0.15">
      <c r="A729" t="s">
        <v>72</v>
      </c>
      <c r="B729" t="s">
        <v>9794</v>
      </c>
      <c r="C729" t="s">
        <v>74</v>
      </c>
      <c r="D729" t="s">
        <v>74</v>
      </c>
      <c r="E729" t="s">
        <v>74</v>
      </c>
      <c r="F729" t="s">
        <v>9794</v>
      </c>
      <c r="G729" t="s">
        <v>74</v>
      </c>
      <c r="H729" t="s">
        <v>74</v>
      </c>
      <c r="I729" t="s">
        <v>9795</v>
      </c>
      <c r="J729" t="s">
        <v>9796</v>
      </c>
      <c r="K729" t="s">
        <v>74</v>
      </c>
      <c r="L729" t="s">
        <v>74</v>
      </c>
      <c r="M729" t="s">
        <v>77</v>
      </c>
      <c r="N729" t="s">
        <v>103</v>
      </c>
      <c r="O729" t="s">
        <v>74</v>
      </c>
      <c r="P729" t="s">
        <v>74</v>
      </c>
      <c r="Q729" t="s">
        <v>74</v>
      </c>
      <c r="R729" t="s">
        <v>74</v>
      </c>
      <c r="S729" t="s">
        <v>74</v>
      </c>
      <c r="T729" t="s">
        <v>74</v>
      </c>
      <c r="U729" t="s">
        <v>9797</v>
      </c>
      <c r="V729" t="s">
        <v>9798</v>
      </c>
      <c r="W729" t="s">
        <v>9799</v>
      </c>
      <c r="X729" t="s">
        <v>9800</v>
      </c>
      <c r="Y729" t="s">
        <v>9801</v>
      </c>
      <c r="Z729" t="s">
        <v>9802</v>
      </c>
      <c r="AA729" t="s">
        <v>9803</v>
      </c>
      <c r="AB729" t="s">
        <v>9804</v>
      </c>
      <c r="AC729" t="s">
        <v>74</v>
      </c>
      <c r="AD729" t="s">
        <v>74</v>
      </c>
      <c r="AE729" t="s">
        <v>74</v>
      </c>
      <c r="AF729" t="s">
        <v>74</v>
      </c>
      <c r="AG729">
        <v>44</v>
      </c>
      <c r="AH729">
        <v>31</v>
      </c>
      <c r="AI729">
        <v>33</v>
      </c>
      <c r="AJ729">
        <v>1</v>
      </c>
      <c r="AK729">
        <v>29</v>
      </c>
      <c r="AL729" t="s">
        <v>5025</v>
      </c>
      <c r="AM729" t="s">
        <v>5026</v>
      </c>
      <c r="AN729" t="s">
        <v>5027</v>
      </c>
      <c r="AO729" t="s">
        <v>9805</v>
      </c>
      <c r="AP729" t="s">
        <v>74</v>
      </c>
      <c r="AQ729" t="s">
        <v>74</v>
      </c>
      <c r="AR729" t="s">
        <v>9806</v>
      </c>
      <c r="AS729" t="s">
        <v>9807</v>
      </c>
      <c r="AT729" t="s">
        <v>9324</v>
      </c>
      <c r="AU729">
        <v>1998</v>
      </c>
      <c r="AV729">
        <v>71</v>
      </c>
      <c r="AW729">
        <v>4</v>
      </c>
      <c r="AX729" t="s">
        <v>74</v>
      </c>
      <c r="AY729" t="s">
        <v>74</v>
      </c>
      <c r="AZ729" t="s">
        <v>74</v>
      </c>
      <c r="BA729" t="s">
        <v>74</v>
      </c>
      <c r="BB729">
        <v>387</v>
      </c>
      <c r="BC729">
        <v>399</v>
      </c>
      <c r="BD729" t="s">
        <v>74</v>
      </c>
      <c r="BE729" t="s">
        <v>9808</v>
      </c>
      <c r="BF729" t="str">
        <f>HYPERLINK("http://dx.doi.org/10.1086/515418","http://dx.doi.org/10.1086/515418")</f>
        <v>http://dx.doi.org/10.1086/515418</v>
      </c>
      <c r="BG729" t="s">
        <v>74</v>
      </c>
      <c r="BH729" t="s">
        <v>74</v>
      </c>
      <c r="BI729">
        <v>13</v>
      </c>
      <c r="BJ729" t="s">
        <v>9519</v>
      </c>
      <c r="BK729" t="s">
        <v>95</v>
      </c>
      <c r="BL729" t="s">
        <v>9519</v>
      </c>
      <c r="BM729" t="s">
        <v>9809</v>
      </c>
      <c r="BN729">
        <v>9678499</v>
      </c>
      <c r="BO729" t="s">
        <v>74</v>
      </c>
      <c r="BP729" t="s">
        <v>74</v>
      </c>
      <c r="BQ729" t="s">
        <v>74</v>
      </c>
      <c r="BR729" t="s">
        <v>98</v>
      </c>
      <c r="BS729" t="s">
        <v>9810</v>
      </c>
      <c r="BT729" t="str">
        <f>HYPERLINK("https%3A%2F%2Fwww.webofscience.com%2Fwos%2Fwoscc%2Ffull-record%2FWOS:000074602900005","View Full Record in Web of Science")</f>
        <v>View Full Record in Web of Science</v>
      </c>
    </row>
    <row r="730" spans="1:72" x14ac:dyDescent="0.15">
      <c r="A730" t="s">
        <v>72</v>
      </c>
      <c r="B730" t="s">
        <v>9811</v>
      </c>
      <c r="C730" t="s">
        <v>74</v>
      </c>
      <c r="D730" t="s">
        <v>74</v>
      </c>
      <c r="E730" t="s">
        <v>74</v>
      </c>
      <c r="F730" t="s">
        <v>9811</v>
      </c>
      <c r="G730" t="s">
        <v>74</v>
      </c>
      <c r="H730" t="s">
        <v>74</v>
      </c>
      <c r="I730" t="s">
        <v>9812</v>
      </c>
      <c r="J730" t="s">
        <v>2603</v>
      </c>
      <c r="K730" t="s">
        <v>74</v>
      </c>
      <c r="L730" t="s">
        <v>74</v>
      </c>
      <c r="M730" t="s">
        <v>77</v>
      </c>
      <c r="N730" t="s">
        <v>103</v>
      </c>
      <c r="O730" t="s">
        <v>74</v>
      </c>
      <c r="P730" t="s">
        <v>74</v>
      </c>
      <c r="Q730" t="s">
        <v>74</v>
      </c>
      <c r="R730" t="s">
        <v>74</v>
      </c>
      <c r="S730" t="s">
        <v>74</v>
      </c>
      <c r="T730" t="s">
        <v>74</v>
      </c>
      <c r="U730" t="s">
        <v>74</v>
      </c>
      <c r="V730" t="s">
        <v>9813</v>
      </c>
      <c r="W730" t="s">
        <v>9814</v>
      </c>
      <c r="X730" t="s">
        <v>9815</v>
      </c>
      <c r="Y730" t="s">
        <v>9816</v>
      </c>
      <c r="Z730" t="s">
        <v>74</v>
      </c>
      <c r="AA730" t="s">
        <v>9817</v>
      </c>
      <c r="AB730" t="s">
        <v>9818</v>
      </c>
      <c r="AC730" t="s">
        <v>74</v>
      </c>
      <c r="AD730" t="s">
        <v>74</v>
      </c>
      <c r="AE730" t="s">
        <v>74</v>
      </c>
      <c r="AF730" t="s">
        <v>74</v>
      </c>
      <c r="AG730">
        <v>14</v>
      </c>
      <c r="AH730">
        <v>20</v>
      </c>
      <c r="AI730">
        <v>20</v>
      </c>
      <c r="AJ730">
        <v>0</v>
      </c>
      <c r="AK730">
        <v>0</v>
      </c>
      <c r="AL730" t="s">
        <v>887</v>
      </c>
      <c r="AM730" t="s">
        <v>278</v>
      </c>
      <c r="AN730" t="s">
        <v>888</v>
      </c>
      <c r="AO730" t="s">
        <v>2610</v>
      </c>
      <c r="AP730" t="s">
        <v>74</v>
      </c>
      <c r="AQ730" t="s">
        <v>74</v>
      </c>
      <c r="AR730" t="s">
        <v>2612</v>
      </c>
      <c r="AS730" t="s">
        <v>2613</v>
      </c>
      <c r="AT730" t="s">
        <v>9154</v>
      </c>
      <c r="AU730">
        <v>1998</v>
      </c>
      <c r="AV730">
        <v>20</v>
      </c>
      <c r="AW730">
        <v>1</v>
      </c>
      <c r="AX730" t="s">
        <v>74</v>
      </c>
      <c r="AY730" t="s">
        <v>74</v>
      </c>
      <c r="AZ730" t="s">
        <v>74</v>
      </c>
      <c r="BA730" t="s">
        <v>74</v>
      </c>
      <c r="BB730">
        <v>33</v>
      </c>
      <c r="BC730">
        <v>40</v>
      </c>
      <c r="BD730" t="s">
        <v>74</v>
      </c>
      <c r="BE730" t="s">
        <v>74</v>
      </c>
      <c r="BF730" t="s">
        <v>74</v>
      </c>
      <c r="BG730" t="s">
        <v>74</v>
      </c>
      <c r="BH730" t="s">
        <v>74</v>
      </c>
      <c r="BI730">
        <v>8</v>
      </c>
      <c r="BJ730" t="s">
        <v>2615</v>
      </c>
      <c r="BK730" t="s">
        <v>95</v>
      </c>
      <c r="BL730" t="s">
        <v>2616</v>
      </c>
      <c r="BM730" t="s">
        <v>9819</v>
      </c>
      <c r="BN730" t="s">
        <v>74</v>
      </c>
      <c r="BO730" t="s">
        <v>74</v>
      </c>
      <c r="BP730" t="s">
        <v>74</v>
      </c>
      <c r="BQ730" t="s">
        <v>74</v>
      </c>
      <c r="BR730" t="s">
        <v>98</v>
      </c>
      <c r="BS730" t="s">
        <v>9820</v>
      </c>
      <c r="BT730" t="str">
        <f>HYPERLINK("https%3A%2F%2Fwww.webofscience.com%2Fwos%2Fwoscc%2Ffull-record%2FWOS:000074814400004","View Full Record in Web of Science")</f>
        <v>View Full Record in Web of Science</v>
      </c>
    </row>
    <row r="731" spans="1:72" x14ac:dyDescent="0.15">
      <c r="A731" t="s">
        <v>72</v>
      </c>
      <c r="B731" t="s">
        <v>9821</v>
      </c>
      <c r="C731" t="s">
        <v>74</v>
      </c>
      <c r="D731" t="s">
        <v>74</v>
      </c>
      <c r="E731" t="s">
        <v>74</v>
      </c>
      <c r="F731" t="s">
        <v>9821</v>
      </c>
      <c r="G731" t="s">
        <v>74</v>
      </c>
      <c r="H731" t="s">
        <v>74</v>
      </c>
      <c r="I731" t="s">
        <v>9822</v>
      </c>
      <c r="J731" t="s">
        <v>2603</v>
      </c>
      <c r="K731" t="s">
        <v>74</v>
      </c>
      <c r="L731" t="s">
        <v>74</v>
      </c>
      <c r="M731" t="s">
        <v>77</v>
      </c>
      <c r="N731" t="s">
        <v>103</v>
      </c>
      <c r="O731" t="s">
        <v>74</v>
      </c>
      <c r="P731" t="s">
        <v>74</v>
      </c>
      <c r="Q731" t="s">
        <v>74</v>
      </c>
      <c r="R731" t="s">
        <v>74</v>
      </c>
      <c r="S731" t="s">
        <v>74</v>
      </c>
      <c r="T731" t="s">
        <v>74</v>
      </c>
      <c r="U731" t="s">
        <v>9823</v>
      </c>
      <c r="V731" t="s">
        <v>9824</v>
      </c>
      <c r="W731" t="s">
        <v>9825</v>
      </c>
      <c r="X731" t="s">
        <v>9826</v>
      </c>
      <c r="Y731" t="s">
        <v>7918</v>
      </c>
      <c r="Z731" t="s">
        <v>7919</v>
      </c>
      <c r="AA731" t="s">
        <v>6237</v>
      </c>
      <c r="AB731" t="s">
        <v>74</v>
      </c>
      <c r="AC731" t="s">
        <v>74</v>
      </c>
      <c r="AD731" t="s">
        <v>74</v>
      </c>
      <c r="AE731" t="s">
        <v>74</v>
      </c>
      <c r="AF731" t="s">
        <v>74</v>
      </c>
      <c r="AG731">
        <v>43</v>
      </c>
      <c r="AH731">
        <v>46</v>
      </c>
      <c r="AI731">
        <v>49</v>
      </c>
      <c r="AJ731">
        <v>0</v>
      </c>
      <c r="AK731">
        <v>8</v>
      </c>
      <c r="AL731" t="s">
        <v>887</v>
      </c>
      <c r="AM731" t="s">
        <v>278</v>
      </c>
      <c r="AN731" t="s">
        <v>888</v>
      </c>
      <c r="AO731" t="s">
        <v>2610</v>
      </c>
      <c r="AP731" t="s">
        <v>74</v>
      </c>
      <c r="AQ731" t="s">
        <v>74</v>
      </c>
      <c r="AR731" t="s">
        <v>2612</v>
      </c>
      <c r="AS731" t="s">
        <v>2613</v>
      </c>
      <c r="AT731" t="s">
        <v>9154</v>
      </c>
      <c r="AU731">
        <v>1998</v>
      </c>
      <c r="AV731">
        <v>20</v>
      </c>
      <c r="AW731">
        <v>1</v>
      </c>
      <c r="AX731" t="s">
        <v>74</v>
      </c>
      <c r="AY731" t="s">
        <v>74</v>
      </c>
      <c r="AZ731" t="s">
        <v>74</v>
      </c>
      <c r="BA731" t="s">
        <v>74</v>
      </c>
      <c r="BB731">
        <v>56</v>
      </c>
      <c r="BC731">
        <v>65</v>
      </c>
      <c r="BD731" t="s">
        <v>74</v>
      </c>
      <c r="BE731" t="s">
        <v>9827</v>
      </c>
      <c r="BF731" t="str">
        <f>HYPERLINK("http://dx.doi.org/10.1007/s003000050276","http://dx.doi.org/10.1007/s003000050276")</f>
        <v>http://dx.doi.org/10.1007/s003000050276</v>
      </c>
      <c r="BG731" t="s">
        <v>74</v>
      </c>
      <c r="BH731" t="s">
        <v>74</v>
      </c>
      <c r="BI731">
        <v>10</v>
      </c>
      <c r="BJ731" t="s">
        <v>2615</v>
      </c>
      <c r="BK731" t="s">
        <v>95</v>
      </c>
      <c r="BL731" t="s">
        <v>2616</v>
      </c>
      <c r="BM731" t="s">
        <v>9819</v>
      </c>
      <c r="BN731" t="s">
        <v>74</v>
      </c>
      <c r="BO731" t="s">
        <v>74</v>
      </c>
      <c r="BP731" t="s">
        <v>74</v>
      </c>
      <c r="BQ731" t="s">
        <v>74</v>
      </c>
      <c r="BR731" t="s">
        <v>98</v>
      </c>
      <c r="BS731" t="s">
        <v>9828</v>
      </c>
      <c r="BT731" t="str">
        <f>HYPERLINK("https%3A%2F%2Fwww.webofscience.com%2Fwos%2Fwoscc%2Ffull-record%2FWOS:000074814400007","View Full Record in Web of Science")</f>
        <v>View Full Record in Web of Science</v>
      </c>
    </row>
    <row r="732" spans="1:72" x14ac:dyDescent="0.15">
      <c r="A732" t="s">
        <v>72</v>
      </c>
      <c r="B732" t="s">
        <v>9829</v>
      </c>
      <c r="C732" t="s">
        <v>74</v>
      </c>
      <c r="D732" t="s">
        <v>74</v>
      </c>
      <c r="E732" t="s">
        <v>74</v>
      </c>
      <c r="F732" t="s">
        <v>9829</v>
      </c>
      <c r="G732" t="s">
        <v>74</v>
      </c>
      <c r="H732" t="s">
        <v>74</v>
      </c>
      <c r="I732" t="s">
        <v>9830</v>
      </c>
      <c r="J732" t="s">
        <v>2603</v>
      </c>
      <c r="K732" t="s">
        <v>74</v>
      </c>
      <c r="L732" t="s">
        <v>74</v>
      </c>
      <c r="M732" t="s">
        <v>77</v>
      </c>
      <c r="N732" t="s">
        <v>103</v>
      </c>
      <c r="O732" t="s">
        <v>74</v>
      </c>
      <c r="P732" t="s">
        <v>74</v>
      </c>
      <c r="Q732" t="s">
        <v>74</v>
      </c>
      <c r="R732" t="s">
        <v>74</v>
      </c>
      <c r="S732" t="s">
        <v>74</v>
      </c>
      <c r="T732" t="s">
        <v>74</v>
      </c>
      <c r="U732" t="s">
        <v>9831</v>
      </c>
      <c r="V732" t="s">
        <v>9832</v>
      </c>
      <c r="W732" t="s">
        <v>9833</v>
      </c>
      <c r="X732" t="s">
        <v>9834</v>
      </c>
      <c r="Y732" t="s">
        <v>9835</v>
      </c>
      <c r="Z732" t="s">
        <v>74</v>
      </c>
      <c r="AA732" t="s">
        <v>9836</v>
      </c>
      <c r="AB732" t="s">
        <v>9837</v>
      </c>
      <c r="AC732" t="s">
        <v>74</v>
      </c>
      <c r="AD732" t="s">
        <v>74</v>
      </c>
      <c r="AE732" t="s">
        <v>74</v>
      </c>
      <c r="AF732" t="s">
        <v>74</v>
      </c>
      <c r="AG732">
        <v>11</v>
      </c>
      <c r="AH732">
        <v>6</v>
      </c>
      <c r="AI732">
        <v>7</v>
      </c>
      <c r="AJ732">
        <v>1</v>
      </c>
      <c r="AK732">
        <v>5</v>
      </c>
      <c r="AL732" t="s">
        <v>887</v>
      </c>
      <c r="AM732" t="s">
        <v>278</v>
      </c>
      <c r="AN732" t="s">
        <v>888</v>
      </c>
      <c r="AO732" t="s">
        <v>2610</v>
      </c>
      <c r="AP732" t="s">
        <v>74</v>
      </c>
      <c r="AQ732" t="s">
        <v>74</v>
      </c>
      <c r="AR732" t="s">
        <v>2612</v>
      </c>
      <c r="AS732" t="s">
        <v>2613</v>
      </c>
      <c r="AT732" t="s">
        <v>9154</v>
      </c>
      <c r="AU732">
        <v>1998</v>
      </c>
      <c r="AV732">
        <v>20</v>
      </c>
      <c r="AW732">
        <v>1</v>
      </c>
      <c r="AX732" t="s">
        <v>74</v>
      </c>
      <c r="AY732" t="s">
        <v>74</v>
      </c>
      <c r="AZ732" t="s">
        <v>74</v>
      </c>
      <c r="BA732" t="s">
        <v>74</v>
      </c>
      <c r="BB732">
        <v>74</v>
      </c>
      <c r="BC732">
        <v>76</v>
      </c>
      <c r="BD732" t="s">
        <v>74</v>
      </c>
      <c r="BE732" t="s">
        <v>9838</v>
      </c>
      <c r="BF732" t="str">
        <f>HYPERLINK("http://dx.doi.org/10.1007/s003000050278","http://dx.doi.org/10.1007/s003000050278")</f>
        <v>http://dx.doi.org/10.1007/s003000050278</v>
      </c>
      <c r="BG732" t="s">
        <v>74</v>
      </c>
      <c r="BH732" t="s">
        <v>74</v>
      </c>
      <c r="BI732">
        <v>3</v>
      </c>
      <c r="BJ732" t="s">
        <v>2615</v>
      </c>
      <c r="BK732" t="s">
        <v>95</v>
      </c>
      <c r="BL732" t="s">
        <v>2616</v>
      </c>
      <c r="BM732" t="s">
        <v>9819</v>
      </c>
      <c r="BN732" t="s">
        <v>74</v>
      </c>
      <c r="BO732" t="s">
        <v>74</v>
      </c>
      <c r="BP732" t="s">
        <v>74</v>
      </c>
      <c r="BQ732" t="s">
        <v>74</v>
      </c>
      <c r="BR732" t="s">
        <v>98</v>
      </c>
      <c r="BS732" t="s">
        <v>9839</v>
      </c>
      <c r="BT732" t="str">
        <f>HYPERLINK("https%3A%2F%2Fwww.webofscience.com%2Fwos%2Fwoscc%2Ffull-record%2FWOS:000074814400009","View Full Record in Web of Science")</f>
        <v>View Full Record in Web of Science</v>
      </c>
    </row>
    <row r="733" spans="1:72" x14ac:dyDescent="0.15">
      <c r="A733" t="s">
        <v>72</v>
      </c>
      <c r="B733" t="s">
        <v>9840</v>
      </c>
      <c r="C733" t="s">
        <v>74</v>
      </c>
      <c r="D733" t="s">
        <v>74</v>
      </c>
      <c r="E733" t="s">
        <v>74</v>
      </c>
      <c r="F733" t="s">
        <v>9840</v>
      </c>
      <c r="G733" t="s">
        <v>74</v>
      </c>
      <c r="H733" t="s">
        <v>74</v>
      </c>
      <c r="I733" t="s">
        <v>9841</v>
      </c>
      <c r="J733" t="s">
        <v>9842</v>
      </c>
      <c r="K733" t="s">
        <v>74</v>
      </c>
      <c r="L733" t="s">
        <v>74</v>
      </c>
      <c r="M733" t="s">
        <v>77</v>
      </c>
      <c r="N733" t="s">
        <v>103</v>
      </c>
      <c r="O733" t="s">
        <v>74</v>
      </c>
      <c r="P733" t="s">
        <v>74</v>
      </c>
      <c r="Q733" t="s">
        <v>74</v>
      </c>
      <c r="R733" t="s">
        <v>74</v>
      </c>
      <c r="S733" t="s">
        <v>74</v>
      </c>
      <c r="T733" t="s">
        <v>9843</v>
      </c>
      <c r="U733" t="s">
        <v>9844</v>
      </c>
      <c r="V733" t="s">
        <v>9845</v>
      </c>
      <c r="W733" t="s">
        <v>9846</v>
      </c>
      <c r="X733" t="s">
        <v>9847</v>
      </c>
      <c r="Y733" t="s">
        <v>9848</v>
      </c>
      <c r="Z733" t="s">
        <v>9849</v>
      </c>
      <c r="AA733" t="s">
        <v>74</v>
      </c>
      <c r="AB733" t="s">
        <v>74</v>
      </c>
      <c r="AC733" t="s">
        <v>9850</v>
      </c>
      <c r="AD733" t="s">
        <v>9851</v>
      </c>
      <c r="AE733" t="s">
        <v>74</v>
      </c>
      <c r="AF733" t="s">
        <v>74</v>
      </c>
      <c r="AG733">
        <v>36</v>
      </c>
      <c r="AH733">
        <v>47</v>
      </c>
      <c r="AI733">
        <v>54</v>
      </c>
      <c r="AJ733">
        <v>1</v>
      </c>
      <c r="AK733">
        <v>15</v>
      </c>
      <c r="AL733" t="s">
        <v>948</v>
      </c>
      <c r="AM733" t="s">
        <v>278</v>
      </c>
      <c r="AN733" t="s">
        <v>949</v>
      </c>
      <c r="AO733" t="s">
        <v>9852</v>
      </c>
      <c r="AP733" t="s">
        <v>74</v>
      </c>
      <c r="AQ733" t="s">
        <v>74</v>
      </c>
      <c r="AR733" t="s">
        <v>9853</v>
      </c>
      <c r="AS733" t="s">
        <v>9854</v>
      </c>
      <c r="AT733" t="s">
        <v>9154</v>
      </c>
      <c r="AU733">
        <v>1998</v>
      </c>
      <c r="AV733">
        <v>7</v>
      </c>
      <c r="AW733">
        <v>7</v>
      </c>
      <c r="AX733" t="s">
        <v>74</v>
      </c>
      <c r="AY733" t="s">
        <v>74</v>
      </c>
      <c r="AZ733" t="s">
        <v>74</v>
      </c>
      <c r="BA733" t="s">
        <v>74</v>
      </c>
      <c r="BB733">
        <v>1555</v>
      </c>
      <c r="BC733">
        <v>1563</v>
      </c>
      <c r="BD733" t="s">
        <v>74</v>
      </c>
      <c r="BE733" t="s">
        <v>9855</v>
      </c>
      <c r="BF733" t="str">
        <f>HYPERLINK("http://dx.doi.org/10.1002/pro.5560070709","http://dx.doi.org/10.1002/pro.5560070709")</f>
        <v>http://dx.doi.org/10.1002/pro.5560070709</v>
      </c>
      <c r="BG733" t="s">
        <v>74</v>
      </c>
      <c r="BH733" t="s">
        <v>74</v>
      </c>
      <c r="BI733">
        <v>9</v>
      </c>
      <c r="BJ733" t="s">
        <v>3744</v>
      </c>
      <c r="BK733" t="s">
        <v>95</v>
      </c>
      <c r="BL733" t="s">
        <v>3744</v>
      </c>
      <c r="BM733" t="s">
        <v>9856</v>
      </c>
      <c r="BN733">
        <v>9684888</v>
      </c>
      <c r="BO733" t="s">
        <v>1005</v>
      </c>
      <c r="BP733" t="s">
        <v>74</v>
      </c>
      <c r="BQ733" t="s">
        <v>74</v>
      </c>
      <c r="BR733" t="s">
        <v>98</v>
      </c>
      <c r="BS733" t="s">
        <v>9857</v>
      </c>
      <c r="BT733" t="str">
        <f>HYPERLINK("https%3A%2F%2Fwww.webofscience.com%2Fwos%2Fwoscc%2Ffull-record%2FWOS:000074761600009","View Full Record in Web of Science")</f>
        <v>View Full Record in Web of Science</v>
      </c>
    </row>
    <row r="734" spans="1:72" x14ac:dyDescent="0.15">
      <c r="A734" t="s">
        <v>72</v>
      </c>
      <c r="B734" t="s">
        <v>9858</v>
      </c>
      <c r="C734" t="s">
        <v>74</v>
      </c>
      <c r="D734" t="s">
        <v>74</v>
      </c>
      <c r="E734" t="s">
        <v>74</v>
      </c>
      <c r="F734" t="s">
        <v>9858</v>
      </c>
      <c r="G734" t="s">
        <v>74</v>
      </c>
      <c r="H734" t="s">
        <v>74</v>
      </c>
      <c r="I734" t="s">
        <v>9859</v>
      </c>
      <c r="J734" t="s">
        <v>3198</v>
      </c>
      <c r="K734" t="s">
        <v>74</v>
      </c>
      <c r="L734" t="s">
        <v>74</v>
      </c>
      <c r="M734" t="s">
        <v>77</v>
      </c>
      <c r="N734" t="s">
        <v>103</v>
      </c>
      <c r="O734" t="s">
        <v>74</v>
      </c>
      <c r="P734" t="s">
        <v>74</v>
      </c>
      <c r="Q734" t="s">
        <v>74</v>
      </c>
      <c r="R734" t="s">
        <v>74</v>
      </c>
      <c r="S734" t="s">
        <v>74</v>
      </c>
      <c r="T734" t="s">
        <v>9860</v>
      </c>
      <c r="U734" t="s">
        <v>9861</v>
      </c>
      <c r="V734" t="s">
        <v>9862</v>
      </c>
      <c r="W734" t="s">
        <v>9863</v>
      </c>
      <c r="X734" t="s">
        <v>9864</v>
      </c>
      <c r="Y734" t="s">
        <v>9865</v>
      </c>
      <c r="Z734" t="s">
        <v>74</v>
      </c>
      <c r="AA734" t="s">
        <v>9866</v>
      </c>
      <c r="AB734" t="s">
        <v>9867</v>
      </c>
      <c r="AC734" t="s">
        <v>74</v>
      </c>
      <c r="AD734" t="s">
        <v>74</v>
      </c>
      <c r="AE734" t="s">
        <v>74</v>
      </c>
      <c r="AF734" t="s">
        <v>74</v>
      </c>
      <c r="AG734">
        <v>56</v>
      </c>
      <c r="AH734">
        <v>10</v>
      </c>
      <c r="AI734">
        <v>11</v>
      </c>
      <c r="AJ734">
        <v>0</v>
      </c>
      <c r="AK734">
        <v>4</v>
      </c>
      <c r="AL734" t="s">
        <v>6875</v>
      </c>
      <c r="AM734" t="s">
        <v>580</v>
      </c>
      <c r="AN734" t="s">
        <v>6876</v>
      </c>
      <c r="AO734" t="s">
        <v>3207</v>
      </c>
      <c r="AP734" t="s">
        <v>74</v>
      </c>
      <c r="AQ734" t="s">
        <v>74</v>
      </c>
      <c r="AR734" t="s">
        <v>3209</v>
      </c>
      <c r="AS734" t="s">
        <v>3210</v>
      </c>
      <c r="AT734" t="s">
        <v>9154</v>
      </c>
      <c r="AU734">
        <v>1998</v>
      </c>
      <c r="AV734">
        <v>124</v>
      </c>
      <c r="AW734">
        <v>549</v>
      </c>
      <c r="AX734" t="s">
        <v>3211</v>
      </c>
      <c r="AY734" t="s">
        <v>74</v>
      </c>
      <c r="AZ734" t="s">
        <v>74</v>
      </c>
      <c r="BA734" t="s">
        <v>74</v>
      </c>
      <c r="BB734">
        <v>1527</v>
      </c>
      <c r="BC734">
        <v>1558</v>
      </c>
      <c r="BD734" t="s">
        <v>74</v>
      </c>
      <c r="BE734" t="s">
        <v>9868</v>
      </c>
      <c r="BF734" t="str">
        <f>HYPERLINK("http://dx.doi.org/10.1002/qj.49712454909","http://dx.doi.org/10.1002/qj.49712454909")</f>
        <v>http://dx.doi.org/10.1002/qj.49712454909</v>
      </c>
      <c r="BG734" t="s">
        <v>74</v>
      </c>
      <c r="BH734" t="s">
        <v>74</v>
      </c>
      <c r="BI734">
        <v>32</v>
      </c>
      <c r="BJ734" t="s">
        <v>1418</v>
      </c>
      <c r="BK734" t="s">
        <v>95</v>
      </c>
      <c r="BL734" t="s">
        <v>1418</v>
      </c>
      <c r="BM734" t="s">
        <v>9869</v>
      </c>
      <c r="BN734" t="s">
        <v>74</v>
      </c>
      <c r="BO734" t="s">
        <v>74</v>
      </c>
      <c r="BP734" t="s">
        <v>74</v>
      </c>
      <c r="BQ734" t="s">
        <v>74</v>
      </c>
      <c r="BR734" t="s">
        <v>98</v>
      </c>
      <c r="BS734" t="s">
        <v>9870</v>
      </c>
      <c r="BT734" t="str">
        <f>HYPERLINK("https%3A%2F%2Fwww.webofscience.com%2Fwos%2Fwoscc%2Ffull-record%2FWOS:000075276200008","View Full Record in Web of Science")</f>
        <v>View Full Record in Web of Science</v>
      </c>
    </row>
    <row r="735" spans="1:72" x14ac:dyDescent="0.15">
      <c r="A735" t="s">
        <v>72</v>
      </c>
      <c r="B735" t="s">
        <v>9871</v>
      </c>
      <c r="C735" t="s">
        <v>74</v>
      </c>
      <c r="D735" t="s">
        <v>74</v>
      </c>
      <c r="E735" t="s">
        <v>74</v>
      </c>
      <c r="F735" t="s">
        <v>9871</v>
      </c>
      <c r="G735" t="s">
        <v>74</v>
      </c>
      <c r="H735" t="s">
        <v>74</v>
      </c>
      <c r="I735" t="s">
        <v>9872</v>
      </c>
      <c r="J735" t="s">
        <v>5886</v>
      </c>
      <c r="K735" t="s">
        <v>74</v>
      </c>
      <c r="L735" t="s">
        <v>74</v>
      </c>
      <c r="M735" t="s">
        <v>77</v>
      </c>
      <c r="N735" t="s">
        <v>103</v>
      </c>
      <c r="O735" t="s">
        <v>74</v>
      </c>
      <c r="P735" t="s">
        <v>74</v>
      </c>
      <c r="Q735" t="s">
        <v>74</v>
      </c>
      <c r="R735" t="s">
        <v>74</v>
      </c>
      <c r="S735" t="s">
        <v>74</v>
      </c>
      <c r="T735" t="s">
        <v>74</v>
      </c>
      <c r="U735" t="s">
        <v>9873</v>
      </c>
      <c r="V735" t="s">
        <v>9874</v>
      </c>
      <c r="W735" t="s">
        <v>944</v>
      </c>
      <c r="X735" t="s">
        <v>628</v>
      </c>
      <c r="Y735" t="s">
        <v>9875</v>
      </c>
      <c r="Z735" t="s">
        <v>74</v>
      </c>
      <c r="AA735" t="s">
        <v>74</v>
      </c>
      <c r="AB735" t="s">
        <v>74</v>
      </c>
      <c r="AC735" t="s">
        <v>74</v>
      </c>
      <c r="AD735" t="s">
        <v>74</v>
      </c>
      <c r="AE735" t="s">
        <v>74</v>
      </c>
      <c r="AF735" t="s">
        <v>74</v>
      </c>
      <c r="AG735">
        <v>16</v>
      </c>
      <c r="AH735">
        <v>17</v>
      </c>
      <c r="AI735">
        <v>19</v>
      </c>
      <c r="AJ735">
        <v>0</v>
      </c>
      <c r="AK735">
        <v>2</v>
      </c>
      <c r="AL735" t="s">
        <v>966</v>
      </c>
      <c r="AM735" t="s">
        <v>967</v>
      </c>
      <c r="AN735" t="s">
        <v>968</v>
      </c>
      <c r="AO735" t="s">
        <v>5892</v>
      </c>
      <c r="AP735" t="s">
        <v>74</v>
      </c>
      <c r="AQ735" t="s">
        <v>74</v>
      </c>
      <c r="AR735" t="s">
        <v>5893</v>
      </c>
      <c r="AS735" t="s">
        <v>5894</v>
      </c>
      <c r="AT735" t="s">
        <v>9324</v>
      </c>
      <c r="AU735">
        <v>1998</v>
      </c>
      <c r="AV735">
        <v>33</v>
      </c>
      <c r="AW735">
        <v>4</v>
      </c>
      <c r="AX735" t="s">
        <v>74</v>
      </c>
      <c r="AY735" t="s">
        <v>74</v>
      </c>
      <c r="AZ735" t="s">
        <v>74</v>
      </c>
      <c r="BA735" t="s">
        <v>74</v>
      </c>
      <c r="BB735">
        <v>957</v>
      </c>
      <c r="BC735">
        <v>965</v>
      </c>
      <c r="BD735" t="s">
        <v>74</v>
      </c>
      <c r="BE735" t="s">
        <v>9876</v>
      </c>
      <c r="BF735" t="str">
        <f>HYPERLINK("http://dx.doi.org/10.1029/98RS01113","http://dx.doi.org/10.1029/98RS01113")</f>
        <v>http://dx.doi.org/10.1029/98RS01113</v>
      </c>
      <c r="BG735" t="s">
        <v>74</v>
      </c>
      <c r="BH735" t="s">
        <v>74</v>
      </c>
      <c r="BI735">
        <v>9</v>
      </c>
      <c r="BJ735" t="s">
        <v>5896</v>
      </c>
      <c r="BK735" t="s">
        <v>95</v>
      </c>
      <c r="BL735" t="s">
        <v>5896</v>
      </c>
      <c r="BM735" t="s">
        <v>9877</v>
      </c>
      <c r="BN735" t="s">
        <v>74</v>
      </c>
      <c r="BO735" t="s">
        <v>74</v>
      </c>
      <c r="BP735" t="s">
        <v>74</v>
      </c>
      <c r="BQ735" t="s">
        <v>74</v>
      </c>
      <c r="BR735" t="s">
        <v>98</v>
      </c>
      <c r="BS735" t="s">
        <v>9878</v>
      </c>
      <c r="BT735" t="str">
        <f>HYPERLINK("https%3A%2F%2Fwww.webofscience.com%2Fwos%2Fwoscc%2Ffull-record%2FWOS:000075088500012","View Full Record in Web of Science")</f>
        <v>View Full Record in Web of Science</v>
      </c>
    </row>
    <row r="736" spans="1:72" x14ac:dyDescent="0.15">
      <c r="A736" t="s">
        <v>72</v>
      </c>
      <c r="B736" t="s">
        <v>9879</v>
      </c>
      <c r="C736" t="s">
        <v>74</v>
      </c>
      <c r="D736" t="s">
        <v>74</v>
      </c>
      <c r="E736" t="s">
        <v>74</v>
      </c>
      <c r="F736" t="s">
        <v>9879</v>
      </c>
      <c r="G736" t="s">
        <v>74</v>
      </c>
      <c r="H736" t="s">
        <v>74</v>
      </c>
      <c r="I736" t="s">
        <v>9880</v>
      </c>
      <c r="J736" t="s">
        <v>5936</v>
      </c>
      <c r="K736" t="s">
        <v>74</v>
      </c>
      <c r="L736" t="s">
        <v>74</v>
      </c>
      <c r="M736" t="s">
        <v>77</v>
      </c>
      <c r="N736" t="s">
        <v>103</v>
      </c>
      <c r="O736" t="s">
        <v>74</v>
      </c>
      <c r="P736" t="s">
        <v>74</v>
      </c>
      <c r="Q736" t="s">
        <v>74</v>
      </c>
      <c r="R736" t="s">
        <v>74</v>
      </c>
      <c r="S736" t="s">
        <v>74</v>
      </c>
      <c r="T736" t="s">
        <v>74</v>
      </c>
      <c r="U736" t="s">
        <v>9881</v>
      </c>
      <c r="V736" t="s">
        <v>9882</v>
      </c>
      <c r="W736" t="s">
        <v>9883</v>
      </c>
      <c r="X736" t="s">
        <v>74</v>
      </c>
      <c r="Y736" t="s">
        <v>9884</v>
      </c>
      <c r="Z736" t="s">
        <v>74</v>
      </c>
      <c r="AA736" t="s">
        <v>9885</v>
      </c>
      <c r="AB736" t="s">
        <v>74</v>
      </c>
      <c r="AC736" t="s">
        <v>74</v>
      </c>
      <c r="AD736" t="s">
        <v>74</v>
      </c>
      <c r="AE736" t="s">
        <v>74</v>
      </c>
      <c r="AF736" t="s">
        <v>74</v>
      </c>
      <c r="AG736">
        <v>34</v>
      </c>
      <c r="AH736">
        <v>41</v>
      </c>
      <c r="AI736">
        <v>53</v>
      </c>
      <c r="AJ736">
        <v>0</v>
      </c>
      <c r="AK736">
        <v>12</v>
      </c>
      <c r="AL736" t="s">
        <v>7060</v>
      </c>
      <c r="AM736" t="s">
        <v>7061</v>
      </c>
      <c r="AN736" t="s">
        <v>7062</v>
      </c>
      <c r="AO736" t="s">
        <v>5945</v>
      </c>
      <c r="AP736" t="s">
        <v>74</v>
      </c>
      <c r="AQ736" t="s">
        <v>74</v>
      </c>
      <c r="AR736" t="s">
        <v>5946</v>
      </c>
      <c r="AS736" t="s">
        <v>5947</v>
      </c>
      <c r="AT736" t="s">
        <v>9154</v>
      </c>
      <c r="AU736">
        <v>1998</v>
      </c>
      <c r="AV736">
        <v>50</v>
      </c>
      <c r="AW736">
        <v>3</v>
      </c>
      <c r="AX736" t="s">
        <v>74</v>
      </c>
      <c r="AY736" t="s">
        <v>74</v>
      </c>
      <c r="AZ736" t="s">
        <v>74</v>
      </c>
      <c r="BA736" t="s">
        <v>74</v>
      </c>
      <c r="BB736">
        <v>253</v>
      </c>
      <c r="BC736">
        <v>262</v>
      </c>
      <c r="BD736" t="s">
        <v>74</v>
      </c>
      <c r="BE736" t="s">
        <v>9886</v>
      </c>
      <c r="BF736" t="str">
        <f>HYPERLINK("http://dx.doi.org/10.1034/j.1600-0889.1998.t01-2-00004.x","http://dx.doi.org/10.1034/j.1600-0889.1998.t01-2-00004.x")</f>
        <v>http://dx.doi.org/10.1034/j.1600-0889.1998.t01-2-00004.x</v>
      </c>
      <c r="BG736" t="s">
        <v>74</v>
      </c>
      <c r="BH736" t="s">
        <v>74</v>
      </c>
      <c r="BI736">
        <v>10</v>
      </c>
      <c r="BJ736" t="s">
        <v>1418</v>
      </c>
      <c r="BK736" t="s">
        <v>95</v>
      </c>
      <c r="BL736" t="s">
        <v>1418</v>
      </c>
      <c r="BM736" t="s">
        <v>9887</v>
      </c>
      <c r="BN736" t="s">
        <v>74</v>
      </c>
      <c r="BO736" t="s">
        <v>1089</v>
      </c>
      <c r="BP736" t="s">
        <v>74</v>
      </c>
      <c r="BQ736" t="s">
        <v>74</v>
      </c>
      <c r="BR736" t="s">
        <v>98</v>
      </c>
      <c r="BS736" t="s">
        <v>9888</v>
      </c>
      <c r="BT736" t="str">
        <f>HYPERLINK("https%3A%2F%2Fwww.webofscience.com%2Fwos%2Fwoscc%2Ffull-record%2FWOS:000074745400004","View Full Record in Web of Science")</f>
        <v>View Full Record in Web of Science</v>
      </c>
    </row>
    <row r="737" spans="1:72" x14ac:dyDescent="0.15">
      <c r="A737" t="s">
        <v>72</v>
      </c>
      <c r="B737" t="s">
        <v>9889</v>
      </c>
      <c r="C737" t="s">
        <v>74</v>
      </c>
      <c r="D737" t="s">
        <v>74</v>
      </c>
      <c r="E737" t="s">
        <v>74</v>
      </c>
      <c r="F737" t="s">
        <v>9889</v>
      </c>
      <c r="G737" t="s">
        <v>74</v>
      </c>
      <c r="H737" t="s">
        <v>74</v>
      </c>
      <c r="I737" t="s">
        <v>9890</v>
      </c>
      <c r="J737" t="s">
        <v>9891</v>
      </c>
      <c r="K737" t="s">
        <v>74</v>
      </c>
      <c r="L737" t="s">
        <v>74</v>
      </c>
      <c r="M737" t="s">
        <v>77</v>
      </c>
      <c r="N737" t="s">
        <v>103</v>
      </c>
      <c r="O737" t="s">
        <v>74</v>
      </c>
      <c r="P737" t="s">
        <v>74</v>
      </c>
      <c r="Q737" t="s">
        <v>74</v>
      </c>
      <c r="R737" t="s">
        <v>74</v>
      </c>
      <c r="S737" t="s">
        <v>74</v>
      </c>
      <c r="T737" t="s">
        <v>74</v>
      </c>
      <c r="U737" t="s">
        <v>9892</v>
      </c>
      <c r="V737" t="s">
        <v>9893</v>
      </c>
      <c r="W737" t="s">
        <v>9894</v>
      </c>
      <c r="X737" t="s">
        <v>7238</v>
      </c>
      <c r="Y737" t="s">
        <v>9895</v>
      </c>
      <c r="Z737" t="s">
        <v>74</v>
      </c>
      <c r="AA737" t="s">
        <v>74</v>
      </c>
      <c r="AB737" t="s">
        <v>74</v>
      </c>
      <c r="AC737" t="s">
        <v>74</v>
      </c>
      <c r="AD737" t="s">
        <v>74</v>
      </c>
      <c r="AE737" t="s">
        <v>74</v>
      </c>
      <c r="AF737" t="s">
        <v>74</v>
      </c>
      <c r="AG737">
        <v>55</v>
      </c>
      <c r="AH737">
        <v>6</v>
      </c>
      <c r="AI737">
        <v>6</v>
      </c>
      <c r="AJ737">
        <v>0</v>
      </c>
      <c r="AK737">
        <v>3</v>
      </c>
      <c r="AL737" t="s">
        <v>1739</v>
      </c>
      <c r="AM737" t="s">
        <v>1740</v>
      </c>
      <c r="AN737" t="s">
        <v>9896</v>
      </c>
      <c r="AO737" t="s">
        <v>9897</v>
      </c>
      <c r="AP737" t="s">
        <v>74</v>
      </c>
      <c r="AQ737" t="s">
        <v>74</v>
      </c>
      <c r="AR737" t="s">
        <v>9898</v>
      </c>
      <c r="AS737" t="s">
        <v>9899</v>
      </c>
      <c r="AT737" t="s">
        <v>9154</v>
      </c>
      <c r="AU737">
        <v>1998</v>
      </c>
      <c r="AV737">
        <v>127</v>
      </c>
      <c r="AW737">
        <v>4</v>
      </c>
      <c r="AX737" t="s">
        <v>74</v>
      </c>
      <c r="AY737" t="s">
        <v>74</v>
      </c>
      <c r="AZ737" t="s">
        <v>74</v>
      </c>
      <c r="BA737" t="s">
        <v>74</v>
      </c>
      <c r="BB737">
        <v>560</v>
      </c>
      <c r="BC737">
        <v>575</v>
      </c>
      <c r="BD737" t="s">
        <v>74</v>
      </c>
      <c r="BE737" t="s">
        <v>9900</v>
      </c>
      <c r="BF737" t="str">
        <f>HYPERLINK("http://dx.doi.org/10.1577/1548-8659(1998)127&lt;0560:OADOAC&gt;2.0.CO;2","http://dx.doi.org/10.1577/1548-8659(1998)127&lt;0560:OADOAC&gt;2.0.CO;2")</f>
        <v>http://dx.doi.org/10.1577/1548-8659(1998)127&lt;0560:OADOAC&gt;2.0.CO;2</v>
      </c>
      <c r="BG737" t="s">
        <v>74</v>
      </c>
      <c r="BH737" t="s">
        <v>74</v>
      </c>
      <c r="BI737">
        <v>16</v>
      </c>
      <c r="BJ737" t="s">
        <v>683</v>
      </c>
      <c r="BK737" t="s">
        <v>95</v>
      </c>
      <c r="BL737" t="s">
        <v>683</v>
      </c>
      <c r="BM737" t="s">
        <v>9901</v>
      </c>
      <c r="BN737" t="s">
        <v>74</v>
      </c>
      <c r="BO737" t="s">
        <v>74</v>
      </c>
      <c r="BP737" t="s">
        <v>74</v>
      </c>
      <c r="BQ737" t="s">
        <v>74</v>
      </c>
      <c r="BR737" t="s">
        <v>98</v>
      </c>
      <c r="BS737" t="s">
        <v>9902</v>
      </c>
      <c r="BT737" t="str">
        <f>HYPERLINK("https%3A%2F%2Fwww.webofscience.com%2Fwos%2Fwoscc%2Ffull-record%2FWOS:000075350600004","View Full Record in Web of Science")</f>
        <v>View Full Record in Web of Science</v>
      </c>
    </row>
    <row r="738" spans="1:72" x14ac:dyDescent="0.15">
      <c r="A738" t="s">
        <v>72</v>
      </c>
      <c r="B738" t="s">
        <v>9903</v>
      </c>
      <c r="C738" t="s">
        <v>74</v>
      </c>
      <c r="D738" t="s">
        <v>74</v>
      </c>
      <c r="E738" t="s">
        <v>74</v>
      </c>
      <c r="F738" t="s">
        <v>9903</v>
      </c>
      <c r="G738" t="s">
        <v>74</v>
      </c>
      <c r="H738" t="s">
        <v>74</v>
      </c>
      <c r="I738" t="s">
        <v>9904</v>
      </c>
      <c r="J738" t="s">
        <v>9905</v>
      </c>
      <c r="K738" t="s">
        <v>74</v>
      </c>
      <c r="L738" t="s">
        <v>74</v>
      </c>
      <c r="M738" t="s">
        <v>77</v>
      </c>
      <c r="N738" t="s">
        <v>103</v>
      </c>
      <c r="O738" t="s">
        <v>74</v>
      </c>
      <c r="P738" t="s">
        <v>74</v>
      </c>
      <c r="Q738" t="s">
        <v>74</v>
      </c>
      <c r="R738" t="s">
        <v>74</v>
      </c>
      <c r="S738" t="s">
        <v>74</v>
      </c>
      <c r="T738" t="s">
        <v>74</v>
      </c>
      <c r="U738" t="s">
        <v>74</v>
      </c>
      <c r="V738" t="s">
        <v>9906</v>
      </c>
      <c r="W738" t="s">
        <v>9907</v>
      </c>
      <c r="X738" t="s">
        <v>9908</v>
      </c>
      <c r="Y738" t="s">
        <v>9909</v>
      </c>
      <c r="Z738" t="s">
        <v>74</v>
      </c>
      <c r="AA738" t="s">
        <v>9910</v>
      </c>
      <c r="AB738" t="s">
        <v>9911</v>
      </c>
      <c r="AC738" t="s">
        <v>74</v>
      </c>
      <c r="AD738" t="s">
        <v>74</v>
      </c>
      <c r="AE738" t="s">
        <v>74</v>
      </c>
      <c r="AF738" t="s">
        <v>74</v>
      </c>
      <c r="AG738">
        <v>11</v>
      </c>
      <c r="AH738">
        <v>16</v>
      </c>
      <c r="AI738">
        <v>18</v>
      </c>
      <c r="AJ738">
        <v>0</v>
      </c>
      <c r="AK738">
        <v>7</v>
      </c>
      <c r="AL738" t="s">
        <v>7563</v>
      </c>
      <c r="AM738" t="s">
        <v>7564</v>
      </c>
      <c r="AN738" t="s">
        <v>7565</v>
      </c>
      <c r="AO738" t="s">
        <v>9912</v>
      </c>
      <c r="AP738" t="s">
        <v>74</v>
      </c>
      <c r="AQ738" t="s">
        <v>74</v>
      </c>
      <c r="AR738" t="s">
        <v>9913</v>
      </c>
      <c r="AS738" t="s">
        <v>9914</v>
      </c>
      <c r="AT738" t="s">
        <v>9324</v>
      </c>
      <c r="AU738">
        <v>1998</v>
      </c>
      <c r="AV738">
        <v>27</v>
      </c>
      <c r="AW738">
        <v>4</v>
      </c>
      <c r="AX738" t="s">
        <v>74</v>
      </c>
      <c r="AY738" t="s">
        <v>74</v>
      </c>
      <c r="AZ738" t="s">
        <v>74</v>
      </c>
      <c r="BA738" t="s">
        <v>74</v>
      </c>
      <c r="BB738">
        <v>232</v>
      </c>
      <c r="BC738">
        <v>235</v>
      </c>
      <c r="BD738" t="s">
        <v>74</v>
      </c>
      <c r="BE738" t="s">
        <v>9915</v>
      </c>
      <c r="BF738" t="str">
        <f>HYPERLINK("http://dx.doi.org/10.1002/(SICI)1097-4539(199807/08)27:4&lt;232::AID-XRS291&gt;3.0.CO;2-U","http://dx.doi.org/10.1002/(SICI)1097-4539(199807/08)27:4&lt;232::AID-XRS291&gt;3.0.CO;2-U")</f>
        <v>http://dx.doi.org/10.1002/(SICI)1097-4539(199807/08)27:4&lt;232::AID-XRS291&gt;3.0.CO;2-U</v>
      </c>
      <c r="BG738" t="s">
        <v>74</v>
      </c>
      <c r="BH738" t="s">
        <v>74</v>
      </c>
      <c r="BI738">
        <v>4</v>
      </c>
      <c r="BJ738" t="s">
        <v>9916</v>
      </c>
      <c r="BK738" t="s">
        <v>95</v>
      </c>
      <c r="BL738" t="s">
        <v>9916</v>
      </c>
      <c r="BM738" t="s">
        <v>9917</v>
      </c>
      <c r="BN738" t="s">
        <v>74</v>
      </c>
      <c r="BO738" t="s">
        <v>74</v>
      </c>
      <c r="BP738" t="s">
        <v>74</v>
      </c>
      <c r="BQ738" t="s">
        <v>74</v>
      </c>
      <c r="BR738" t="s">
        <v>98</v>
      </c>
      <c r="BS738" t="s">
        <v>9918</v>
      </c>
      <c r="BT738" t="str">
        <f>HYPERLINK("https%3A%2F%2Fwww.webofscience.com%2Fwos%2Fwoscc%2Ffull-record%2FWOS:000075000500003","View Full Record in Web of Science")</f>
        <v>View Full Record in Web of Science</v>
      </c>
    </row>
    <row r="739" spans="1:72" x14ac:dyDescent="0.15">
      <c r="A739" t="s">
        <v>72</v>
      </c>
      <c r="B739" t="s">
        <v>9919</v>
      </c>
      <c r="C739" t="s">
        <v>74</v>
      </c>
      <c r="D739" t="s">
        <v>74</v>
      </c>
      <c r="E739" t="s">
        <v>74</v>
      </c>
      <c r="F739" t="s">
        <v>9919</v>
      </c>
      <c r="G739" t="s">
        <v>74</v>
      </c>
      <c r="H739" t="s">
        <v>74</v>
      </c>
      <c r="I739" t="s">
        <v>9920</v>
      </c>
      <c r="J739" t="s">
        <v>9921</v>
      </c>
      <c r="K739" t="s">
        <v>74</v>
      </c>
      <c r="L739" t="s">
        <v>74</v>
      </c>
      <c r="M739" t="s">
        <v>2510</v>
      </c>
      <c r="N739" t="s">
        <v>103</v>
      </c>
      <c r="O739" t="s">
        <v>74</v>
      </c>
      <c r="P739" t="s">
        <v>74</v>
      </c>
      <c r="Q739" t="s">
        <v>74</v>
      </c>
      <c r="R739" t="s">
        <v>74</v>
      </c>
      <c r="S739" t="s">
        <v>74</v>
      </c>
      <c r="T739" t="s">
        <v>74</v>
      </c>
      <c r="U739" t="s">
        <v>9922</v>
      </c>
      <c r="V739" t="s">
        <v>9923</v>
      </c>
      <c r="W739" t="s">
        <v>9924</v>
      </c>
      <c r="X739" t="s">
        <v>9925</v>
      </c>
      <c r="Y739" t="s">
        <v>9926</v>
      </c>
      <c r="Z739" t="s">
        <v>74</v>
      </c>
      <c r="AA739" t="s">
        <v>9927</v>
      </c>
      <c r="AB739" t="s">
        <v>74</v>
      </c>
      <c r="AC739" t="s">
        <v>74</v>
      </c>
      <c r="AD739" t="s">
        <v>74</v>
      </c>
      <c r="AE739" t="s">
        <v>74</v>
      </c>
      <c r="AF739" t="s">
        <v>74</v>
      </c>
      <c r="AG739">
        <v>40</v>
      </c>
      <c r="AH739">
        <v>9</v>
      </c>
      <c r="AI739">
        <v>11</v>
      </c>
      <c r="AJ739">
        <v>0</v>
      </c>
      <c r="AK739">
        <v>2</v>
      </c>
      <c r="AL739" t="s">
        <v>2517</v>
      </c>
      <c r="AM739" t="s">
        <v>2518</v>
      </c>
      <c r="AN739" t="s">
        <v>2519</v>
      </c>
      <c r="AO739" t="s">
        <v>9928</v>
      </c>
      <c r="AP739" t="s">
        <v>74</v>
      </c>
      <c r="AQ739" t="s">
        <v>74</v>
      </c>
      <c r="AR739" t="s">
        <v>9929</v>
      </c>
      <c r="AS739" t="s">
        <v>9930</v>
      </c>
      <c r="AT739" t="s">
        <v>9154</v>
      </c>
      <c r="AU739">
        <v>1998</v>
      </c>
      <c r="AV739">
        <v>77</v>
      </c>
      <c r="AW739">
        <v>7</v>
      </c>
      <c r="AX739" t="s">
        <v>74</v>
      </c>
      <c r="AY739" t="s">
        <v>74</v>
      </c>
      <c r="AZ739" t="s">
        <v>74</v>
      </c>
      <c r="BA739" t="s">
        <v>74</v>
      </c>
      <c r="BB739">
        <v>763</v>
      </c>
      <c r="BC739">
        <v>777</v>
      </c>
      <c r="BD739" t="s">
        <v>74</v>
      </c>
      <c r="BE739" t="s">
        <v>74</v>
      </c>
      <c r="BF739" t="s">
        <v>74</v>
      </c>
      <c r="BG739" t="s">
        <v>74</v>
      </c>
      <c r="BH739" t="s">
        <v>74</v>
      </c>
      <c r="BI739">
        <v>15</v>
      </c>
      <c r="BJ739" t="s">
        <v>117</v>
      </c>
      <c r="BK739" t="s">
        <v>95</v>
      </c>
      <c r="BL739" t="s">
        <v>117</v>
      </c>
      <c r="BM739" t="s">
        <v>9931</v>
      </c>
      <c r="BN739" t="s">
        <v>74</v>
      </c>
      <c r="BO739" t="s">
        <v>74</v>
      </c>
      <c r="BP739" t="s">
        <v>74</v>
      </c>
      <c r="BQ739" t="s">
        <v>74</v>
      </c>
      <c r="BR739" t="s">
        <v>98</v>
      </c>
      <c r="BS739" t="s">
        <v>9932</v>
      </c>
      <c r="BT739" t="str">
        <f>HYPERLINK("https%3A%2F%2Fwww.webofscience.com%2Fwos%2Fwoscc%2Ffull-record%2FWOS:000075812800002","View Full Record in Web of Science")</f>
        <v>View Full Record in Web of Science</v>
      </c>
    </row>
    <row r="740" spans="1:72" x14ac:dyDescent="0.15">
      <c r="A740" t="s">
        <v>72</v>
      </c>
      <c r="B740" t="s">
        <v>9933</v>
      </c>
      <c r="C740" t="s">
        <v>74</v>
      </c>
      <c r="D740" t="s">
        <v>74</v>
      </c>
      <c r="E740" t="s">
        <v>74</v>
      </c>
      <c r="F740" t="s">
        <v>9933</v>
      </c>
      <c r="G740" t="s">
        <v>74</v>
      </c>
      <c r="H740" t="s">
        <v>74</v>
      </c>
      <c r="I740" t="s">
        <v>9934</v>
      </c>
      <c r="J740" t="s">
        <v>3607</v>
      </c>
      <c r="K740" t="s">
        <v>74</v>
      </c>
      <c r="L740" t="s">
        <v>74</v>
      </c>
      <c r="M740" t="s">
        <v>77</v>
      </c>
      <c r="N740" t="s">
        <v>103</v>
      </c>
      <c r="O740" t="s">
        <v>74</v>
      </c>
      <c r="P740" t="s">
        <v>74</v>
      </c>
      <c r="Q740" t="s">
        <v>74</v>
      </c>
      <c r="R740" t="s">
        <v>74</v>
      </c>
      <c r="S740" t="s">
        <v>74</v>
      </c>
      <c r="T740" t="s">
        <v>9935</v>
      </c>
      <c r="U740" t="s">
        <v>9936</v>
      </c>
      <c r="V740" t="s">
        <v>9937</v>
      </c>
      <c r="W740" t="s">
        <v>944</v>
      </c>
      <c r="X740" t="s">
        <v>628</v>
      </c>
      <c r="Y740" t="s">
        <v>9938</v>
      </c>
      <c r="Z740" t="s">
        <v>74</v>
      </c>
      <c r="AA740" t="s">
        <v>74</v>
      </c>
      <c r="AB740" t="s">
        <v>74</v>
      </c>
      <c r="AC740" t="s">
        <v>74</v>
      </c>
      <c r="AD740" t="s">
        <v>74</v>
      </c>
      <c r="AE740" t="s">
        <v>74</v>
      </c>
      <c r="AF740" t="s">
        <v>74</v>
      </c>
      <c r="AG740">
        <v>15</v>
      </c>
      <c r="AH740">
        <v>7</v>
      </c>
      <c r="AI740">
        <v>7</v>
      </c>
      <c r="AJ740">
        <v>0</v>
      </c>
      <c r="AK740">
        <v>3</v>
      </c>
      <c r="AL740" t="s">
        <v>1037</v>
      </c>
      <c r="AM740" t="s">
        <v>1038</v>
      </c>
      <c r="AN740" t="s">
        <v>1039</v>
      </c>
      <c r="AO740" t="s">
        <v>3615</v>
      </c>
      <c r="AP740" t="s">
        <v>74</v>
      </c>
      <c r="AQ740" t="s">
        <v>74</v>
      </c>
      <c r="AR740" t="s">
        <v>3616</v>
      </c>
      <c r="AS740" t="s">
        <v>3617</v>
      </c>
      <c r="AT740" t="s">
        <v>9939</v>
      </c>
      <c r="AU740">
        <v>1998</v>
      </c>
      <c r="AV740">
        <v>224</v>
      </c>
      <c r="AW740">
        <v>2</v>
      </c>
      <c r="AX740" t="s">
        <v>74</v>
      </c>
      <c r="AY740" t="s">
        <v>74</v>
      </c>
      <c r="AZ740" t="s">
        <v>74</v>
      </c>
      <c r="BA740" t="s">
        <v>74</v>
      </c>
      <c r="BB740">
        <v>145</v>
      </c>
      <c r="BC740">
        <v>154</v>
      </c>
      <c r="BD740" t="s">
        <v>74</v>
      </c>
      <c r="BE740" t="s">
        <v>9940</v>
      </c>
      <c r="BF740" t="str">
        <f>HYPERLINK("http://dx.doi.org/10.1016/S0022-0981(97)00188-3","http://dx.doi.org/10.1016/S0022-0981(97)00188-3")</f>
        <v>http://dx.doi.org/10.1016/S0022-0981(97)00188-3</v>
      </c>
      <c r="BG740" t="s">
        <v>74</v>
      </c>
      <c r="BH740" t="s">
        <v>74</v>
      </c>
      <c r="BI740">
        <v>10</v>
      </c>
      <c r="BJ740" t="s">
        <v>3619</v>
      </c>
      <c r="BK740" t="s">
        <v>95</v>
      </c>
      <c r="BL740" t="s">
        <v>2191</v>
      </c>
      <c r="BM740" t="s">
        <v>9941</v>
      </c>
      <c r="BN740" t="s">
        <v>74</v>
      </c>
      <c r="BO740" t="s">
        <v>74</v>
      </c>
      <c r="BP740" t="s">
        <v>74</v>
      </c>
      <c r="BQ740" t="s">
        <v>74</v>
      </c>
      <c r="BR740" t="s">
        <v>98</v>
      </c>
      <c r="BS740" t="s">
        <v>9942</v>
      </c>
      <c r="BT740" t="str">
        <f>HYPERLINK("https%3A%2F%2Fwww.webofscience.com%2Fwos%2Fwoscc%2Ffull-record%2FWOS:000072953500001","View Full Record in Web of Science")</f>
        <v>View Full Record in Web of Science</v>
      </c>
    </row>
    <row r="741" spans="1:72" x14ac:dyDescent="0.15">
      <c r="A741" t="s">
        <v>72</v>
      </c>
      <c r="B741" t="s">
        <v>9943</v>
      </c>
      <c r="C741" t="s">
        <v>74</v>
      </c>
      <c r="D741" t="s">
        <v>74</v>
      </c>
      <c r="E741" t="s">
        <v>74</v>
      </c>
      <c r="F741" t="s">
        <v>9943</v>
      </c>
      <c r="G741" t="s">
        <v>74</v>
      </c>
      <c r="H741" t="s">
        <v>74</v>
      </c>
      <c r="I741" t="s">
        <v>9944</v>
      </c>
      <c r="J741" t="s">
        <v>3607</v>
      </c>
      <c r="K741" t="s">
        <v>74</v>
      </c>
      <c r="L741" t="s">
        <v>74</v>
      </c>
      <c r="M741" t="s">
        <v>77</v>
      </c>
      <c r="N741" t="s">
        <v>103</v>
      </c>
      <c r="O741" t="s">
        <v>74</v>
      </c>
      <c r="P741" t="s">
        <v>74</v>
      </c>
      <c r="Q741" t="s">
        <v>74</v>
      </c>
      <c r="R741" t="s">
        <v>74</v>
      </c>
      <c r="S741" t="s">
        <v>74</v>
      </c>
      <c r="T741" t="s">
        <v>9945</v>
      </c>
      <c r="U741" t="s">
        <v>9946</v>
      </c>
      <c r="V741" t="s">
        <v>9947</v>
      </c>
      <c r="W741" t="s">
        <v>9948</v>
      </c>
      <c r="X741" t="s">
        <v>9949</v>
      </c>
      <c r="Y741" t="s">
        <v>9950</v>
      </c>
      <c r="Z741" t="s">
        <v>74</v>
      </c>
      <c r="AA741" t="s">
        <v>74</v>
      </c>
      <c r="AB741" t="s">
        <v>9951</v>
      </c>
      <c r="AC741" t="s">
        <v>74</v>
      </c>
      <c r="AD741" t="s">
        <v>74</v>
      </c>
      <c r="AE741" t="s">
        <v>74</v>
      </c>
      <c r="AF741" t="s">
        <v>74</v>
      </c>
      <c r="AG741">
        <v>41</v>
      </c>
      <c r="AH741">
        <v>42</v>
      </c>
      <c r="AI741">
        <v>45</v>
      </c>
      <c r="AJ741">
        <v>0</v>
      </c>
      <c r="AK741">
        <v>4</v>
      </c>
      <c r="AL741" t="s">
        <v>1037</v>
      </c>
      <c r="AM741" t="s">
        <v>1038</v>
      </c>
      <c r="AN741" t="s">
        <v>1039</v>
      </c>
      <c r="AO741" t="s">
        <v>3615</v>
      </c>
      <c r="AP741" t="s">
        <v>74</v>
      </c>
      <c r="AQ741" t="s">
        <v>74</v>
      </c>
      <c r="AR741" t="s">
        <v>3616</v>
      </c>
      <c r="AS741" t="s">
        <v>3617</v>
      </c>
      <c r="AT741" t="s">
        <v>9939</v>
      </c>
      <c r="AU741">
        <v>1998</v>
      </c>
      <c r="AV741">
        <v>224</v>
      </c>
      <c r="AW741">
        <v>2</v>
      </c>
      <c r="AX741" t="s">
        <v>74</v>
      </c>
      <c r="AY741" t="s">
        <v>74</v>
      </c>
      <c r="AZ741" t="s">
        <v>74</v>
      </c>
      <c r="BA741" t="s">
        <v>74</v>
      </c>
      <c r="BB741">
        <v>253</v>
      </c>
      <c r="BC741">
        <v>264</v>
      </c>
      <c r="BD741" t="s">
        <v>74</v>
      </c>
      <c r="BE741" t="s">
        <v>9952</v>
      </c>
      <c r="BF741" t="str">
        <f>HYPERLINK("http://dx.doi.org/10.1016/S0022-0981(97)00201-3","http://dx.doi.org/10.1016/S0022-0981(97)00201-3")</f>
        <v>http://dx.doi.org/10.1016/S0022-0981(97)00201-3</v>
      </c>
      <c r="BG741" t="s">
        <v>74</v>
      </c>
      <c r="BH741" t="s">
        <v>74</v>
      </c>
      <c r="BI741">
        <v>12</v>
      </c>
      <c r="BJ741" t="s">
        <v>3619</v>
      </c>
      <c r="BK741" t="s">
        <v>95</v>
      </c>
      <c r="BL741" t="s">
        <v>2191</v>
      </c>
      <c r="BM741" t="s">
        <v>9941</v>
      </c>
      <c r="BN741" t="s">
        <v>74</v>
      </c>
      <c r="BO741" t="s">
        <v>74</v>
      </c>
      <c r="BP741" t="s">
        <v>74</v>
      </c>
      <c r="BQ741" t="s">
        <v>74</v>
      </c>
      <c r="BR741" t="s">
        <v>98</v>
      </c>
      <c r="BS741" t="s">
        <v>9953</v>
      </c>
      <c r="BT741" t="str">
        <f>HYPERLINK("https%3A%2F%2Fwww.webofscience.com%2Fwos%2Fwoscc%2Ffull-record%2FWOS:000072953500009","View Full Record in Web of Science")</f>
        <v>View Full Record in Web of Science</v>
      </c>
    </row>
    <row r="742" spans="1:72" x14ac:dyDescent="0.15">
      <c r="A742" t="s">
        <v>72</v>
      </c>
      <c r="B742" t="s">
        <v>9954</v>
      </c>
      <c r="C742" t="s">
        <v>74</v>
      </c>
      <c r="D742" t="s">
        <v>74</v>
      </c>
      <c r="E742" t="s">
        <v>74</v>
      </c>
      <c r="F742" t="s">
        <v>9954</v>
      </c>
      <c r="G742" t="s">
        <v>74</v>
      </c>
      <c r="H742" t="s">
        <v>74</v>
      </c>
      <c r="I742" t="s">
        <v>9955</v>
      </c>
      <c r="J742" t="s">
        <v>4802</v>
      </c>
      <c r="K742" t="s">
        <v>74</v>
      </c>
      <c r="L742" t="s">
        <v>74</v>
      </c>
      <c r="M742" t="s">
        <v>77</v>
      </c>
      <c r="N742" t="s">
        <v>103</v>
      </c>
      <c r="O742" t="s">
        <v>74</v>
      </c>
      <c r="P742" t="s">
        <v>74</v>
      </c>
      <c r="Q742" t="s">
        <v>74</v>
      </c>
      <c r="R742" t="s">
        <v>74</v>
      </c>
      <c r="S742" t="s">
        <v>74</v>
      </c>
      <c r="T742" t="s">
        <v>74</v>
      </c>
      <c r="U742" t="s">
        <v>9956</v>
      </c>
      <c r="V742" t="s">
        <v>9957</v>
      </c>
      <c r="W742" t="s">
        <v>9958</v>
      </c>
      <c r="X742" t="s">
        <v>9271</v>
      </c>
      <c r="Y742" t="s">
        <v>9959</v>
      </c>
      <c r="Z742" t="s">
        <v>9960</v>
      </c>
      <c r="AA742" t="s">
        <v>74</v>
      </c>
      <c r="AB742" t="s">
        <v>74</v>
      </c>
      <c r="AC742" t="s">
        <v>74</v>
      </c>
      <c r="AD742" t="s">
        <v>74</v>
      </c>
      <c r="AE742" t="s">
        <v>74</v>
      </c>
      <c r="AF742" t="s">
        <v>74</v>
      </c>
      <c r="AG742">
        <v>28</v>
      </c>
      <c r="AH742">
        <v>43</v>
      </c>
      <c r="AI742">
        <v>43</v>
      </c>
      <c r="AJ742">
        <v>0</v>
      </c>
      <c r="AK742">
        <v>8</v>
      </c>
      <c r="AL742" t="s">
        <v>966</v>
      </c>
      <c r="AM742" t="s">
        <v>967</v>
      </c>
      <c r="AN742" t="s">
        <v>968</v>
      </c>
      <c r="AO742" t="s">
        <v>4811</v>
      </c>
      <c r="AP742" t="s">
        <v>74</v>
      </c>
      <c r="AQ742" t="s">
        <v>74</v>
      </c>
      <c r="AR742" t="s">
        <v>4813</v>
      </c>
      <c r="AS742" t="s">
        <v>4814</v>
      </c>
      <c r="AT742" t="s">
        <v>9961</v>
      </c>
      <c r="AU742">
        <v>1998</v>
      </c>
      <c r="AV742">
        <v>103</v>
      </c>
      <c r="AW742" t="s">
        <v>9962</v>
      </c>
      <c r="AX742" t="s">
        <v>74</v>
      </c>
      <c r="AY742" t="s">
        <v>74</v>
      </c>
      <c r="AZ742" t="s">
        <v>74</v>
      </c>
      <c r="BA742" t="s">
        <v>74</v>
      </c>
      <c r="BB742">
        <v>13787</v>
      </c>
      <c r="BC742">
        <v>13799</v>
      </c>
      <c r="BD742" t="s">
        <v>74</v>
      </c>
      <c r="BE742" t="s">
        <v>9963</v>
      </c>
      <c r="BF742" t="str">
        <f>HYPERLINK("http://dx.doi.org/10.1029/98JD01042","http://dx.doi.org/10.1029/98JD01042")</f>
        <v>http://dx.doi.org/10.1029/98JD01042</v>
      </c>
      <c r="BG742" t="s">
        <v>74</v>
      </c>
      <c r="BH742" t="s">
        <v>74</v>
      </c>
      <c r="BI742">
        <v>13</v>
      </c>
      <c r="BJ742" t="s">
        <v>1418</v>
      </c>
      <c r="BK742" t="s">
        <v>95</v>
      </c>
      <c r="BL742" t="s">
        <v>1418</v>
      </c>
      <c r="BM742" t="s">
        <v>9964</v>
      </c>
      <c r="BN742" t="s">
        <v>74</v>
      </c>
      <c r="BO742" t="s">
        <v>1089</v>
      </c>
      <c r="BP742" t="s">
        <v>74</v>
      </c>
      <c r="BQ742" t="s">
        <v>74</v>
      </c>
      <c r="BR742" t="s">
        <v>98</v>
      </c>
      <c r="BS742" t="s">
        <v>9965</v>
      </c>
      <c r="BT742" t="str">
        <f>HYPERLINK("https%3A%2F%2Fwww.webofscience.com%2Fwos%2Fwoscc%2Ffull-record%2FWOS:000074439500008","View Full Record in Web of Science")</f>
        <v>View Full Record in Web of Science</v>
      </c>
    </row>
    <row r="743" spans="1:72" x14ac:dyDescent="0.15">
      <c r="A743" t="s">
        <v>72</v>
      </c>
      <c r="B743" t="s">
        <v>9966</v>
      </c>
      <c r="C743" t="s">
        <v>74</v>
      </c>
      <c r="D743" t="s">
        <v>74</v>
      </c>
      <c r="E743" t="s">
        <v>74</v>
      </c>
      <c r="F743" t="s">
        <v>9966</v>
      </c>
      <c r="G743" t="s">
        <v>74</v>
      </c>
      <c r="H743" t="s">
        <v>74</v>
      </c>
      <c r="I743" t="s">
        <v>9967</v>
      </c>
      <c r="J743" t="s">
        <v>4802</v>
      </c>
      <c r="K743" t="s">
        <v>74</v>
      </c>
      <c r="L743" t="s">
        <v>74</v>
      </c>
      <c r="M743" t="s">
        <v>77</v>
      </c>
      <c r="N743" t="s">
        <v>103</v>
      </c>
      <c r="O743" t="s">
        <v>74</v>
      </c>
      <c r="P743" t="s">
        <v>74</v>
      </c>
      <c r="Q743" t="s">
        <v>74</v>
      </c>
      <c r="R743" t="s">
        <v>74</v>
      </c>
      <c r="S743" t="s">
        <v>74</v>
      </c>
      <c r="T743" t="s">
        <v>74</v>
      </c>
      <c r="U743" t="s">
        <v>9968</v>
      </c>
      <c r="V743" t="s">
        <v>9969</v>
      </c>
      <c r="W743" t="s">
        <v>9970</v>
      </c>
      <c r="X743" t="s">
        <v>9971</v>
      </c>
      <c r="Y743" t="s">
        <v>9972</v>
      </c>
      <c r="Z743" t="s">
        <v>9973</v>
      </c>
      <c r="AA743" t="s">
        <v>9974</v>
      </c>
      <c r="AB743" t="s">
        <v>9975</v>
      </c>
      <c r="AC743" t="s">
        <v>74</v>
      </c>
      <c r="AD743" t="s">
        <v>74</v>
      </c>
      <c r="AE743" t="s">
        <v>74</v>
      </c>
      <c r="AF743" t="s">
        <v>74</v>
      </c>
      <c r="AG743">
        <v>68</v>
      </c>
      <c r="AH743">
        <v>7</v>
      </c>
      <c r="AI743">
        <v>7</v>
      </c>
      <c r="AJ743">
        <v>0</v>
      </c>
      <c r="AK743">
        <v>1</v>
      </c>
      <c r="AL743" t="s">
        <v>966</v>
      </c>
      <c r="AM743" t="s">
        <v>967</v>
      </c>
      <c r="AN743" t="s">
        <v>968</v>
      </c>
      <c r="AO743" t="s">
        <v>4811</v>
      </c>
      <c r="AP743" t="s">
        <v>4812</v>
      </c>
      <c r="AQ743" t="s">
        <v>74</v>
      </c>
      <c r="AR743" t="s">
        <v>4813</v>
      </c>
      <c r="AS743" t="s">
        <v>4814</v>
      </c>
      <c r="AT743" t="s">
        <v>9961</v>
      </c>
      <c r="AU743">
        <v>1998</v>
      </c>
      <c r="AV743">
        <v>103</v>
      </c>
      <c r="AW743" t="s">
        <v>9962</v>
      </c>
      <c r="AX743" t="s">
        <v>74</v>
      </c>
      <c r="AY743" t="s">
        <v>74</v>
      </c>
      <c r="AZ743" t="s">
        <v>74</v>
      </c>
      <c r="BA743" t="s">
        <v>74</v>
      </c>
      <c r="BB743">
        <v>13873</v>
      </c>
      <c r="BC743">
        <v>13891</v>
      </c>
      <c r="BD743" t="s">
        <v>74</v>
      </c>
      <c r="BE743" t="s">
        <v>9976</v>
      </c>
      <c r="BF743" t="str">
        <f>HYPERLINK("http://dx.doi.org/10.1029/98JD00901","http://dx.doi.org/10.1029/98JD00901")</f>
        <v>http://dx.doi.org/10.1029/98JD00901</v>
      </c>
      <c r="BG743" t="s">
        <v>74</v>
      </c>
      <c r="BH743" t="s">
        <v>74</v>
      </c>
      <c r="BI743">
        <v>19</v>
      </c>
      <c r="BJ743" t="s">
        <v>1418</v>
      </c>
      <c r="BK743" t="s">
        <v>95</v>
      </c>
      <c r="BL743" t="s">
        <v>1418</v>
      </c>
      <c r="BM743" t="s">
        <v>9964</v>
      </c>
      <c r="BN743" t="s">
        <v>74</v>
      </c>
      <c r="BO743" t="s">
        <v>1089</v>
      </c>
      <c r="BP743" t="s">
        <v>74</v>
      </c>
      <c r="BQ743" t="s">
        <v>74</v>
      </c>
      <c r="BR743" t="s">
        <v>98</v>
      </c>
      <c r="BS743" t="s">
        <v>9977</v>
      </c>
      <c r="BT743" t="str">
        <f>HYPERLINK("https%3A%2F%2Fwww.webofscience.com%2Fwos%2Fwoscc%2Ffull-record%2FWOS:000074439500014","View Full Record in Web of Science")</f>
        <v>View Full Record in Web of Science</v>
      </c>
    </row>
    <row r="744" spans="1:72" x14ac:dyDescent="0.15">
      <c r="A744" t="s">
        <v>72</v>
      </c>
      <c r="B744" t="s">
        <v>9978</v>
      </c>
      <c r="C744" t="s">
        <v>74</v>
      </c>
      <c r="D744" t="s">
        <v>74</v>
      </c>
      <c r="E744" t="s">
        <v>74</v>
      </c>
      <c r="F744" t="s">
        <v>9978</v>
      </c>
      <c r="G744" t="s">
        <v>74</v>
      </c>
      <c r="H744" t="s">
        <v>74</v>
      </c>
      <c r="I744" t="s">
        <v>9979</v>
      </c>
      <c r="J744" t="s">
        <v>3749</v>
      </c>
      <c r="K744" t="s">
        <v>74</v>
      </c>
      <c r="L744" t="s">
        <v>74</v>
      </c>
      <c r="M744" t="s">
        <v>77</v>
      </c>
      <c r="N744" t="s">
        <v>103</v>
      </c>
      <c r="O744" t="s">
        <v>74</v>
      </c>
      <c r="P744" t="s">
        <v>74</v>
      </c>
      <c r="Q744" t="s">
        <v>74</v>
      </c>
      <c r="R744" t="s">
        <v>74</v>
      </c>
      <c r="S744" t="s">
        <v>74</v>
      </c>
      <c r="T744" t="s">
        <v>74</v>
      </c>
      <c r="U744" t="s">
        <v>74</v>
      </c>
      <c r="V744" t="s">
        <v>9980</v>
      </c>
      <c r="W744" t="s">
        <v>9981</v>
      </c>
      <c r="X744" t="s">
        <v>9982</v>
      </c>
      <c r="Y744" t="s">
        <v>9983</v>
      </c>
      <c r="Z744" t="s">
        <v>74</v>
      </c>
      <c r="AA744" t="s">
        <v>9984</v>
      </c>
      <c r="AB744" t="s">
        <v>9985</v>
      </c>
      <c r="AC744" t="s">
        <v>74</v>
      </c>
      <c r="AD744" t="s">
        <v>74</v>
      </c>
      <c r="AE744" t="s">
        <v>74</v>
      </c>
      <c r="AF744" t="s">
        <v>74</v>
      </c>
      <c r="AG744">
        <v>24</v>
      </c>
      <c r="AH744">
        <v>286</v>
      </c>
      <c r="AI744">
        <v>334</v>
      </c>
      <c r="AJ744">
        <v>2</v>
      </c>
      <c r="AK744">
        <v>62</v>
      </c>
      <c r="AL744" t="s">
        <v>3756</v>
      </c>
      <c r="AM744" t="s">
        <v>967</v>
      </c>
      <c r="AN744" t="s">
        <v>3757</v>
      </c>
      <c r="AO744" t="s">
        <v>3758</v>
      </c>
      <c r="AP744" t="s">
        <v>8894</v>
      </c>
      <c r="AQ744" t="s">
        <v>74</v>
      </c>
      <c r="AR744" t="s">
        <v>3749</v>
      </c>
      <c r="AS744" t="s">
        <v>3759</v>
      </c>
      <c r="AT744" t="s">
        <v>9986</v>
      </c>
      <c r="AU744">
        <v>1998</v>
      </c>
      <c r="AV744">
        <v>280</v>
      </c>
      <c r="AW744">
        <v>5372</v>
      </c>
      <c r="AX744" t="s">
        <v>74</v>
      </c>
      <c r="AY744" t="s">
        <v>74</v>
      </c>
      <c r="AZ744" t="s">
        <v>74</v>
      </c>
      <c r="BA744" t="s">
        <v>74</v>
      </c>
      <c r="BB744">
        <v>2095</v>
      </c>
      <c r="BC744">
        <v>2098</v>
      </c>
      <c r="BD744" t="s">
        <v>74</v>
      </c>
      <c r="BE744" t="s">
        <v>9987</v>
      </c>
      <c r="BF744" t="str">
        <f>HYPERLINK("http://dx.doi.org/10.1126/science.280.5372.2095","http://dx.doi.org/10.1126/science.280.5372.2095")</f>
        <v>http://dx.doi.org/10.1126/science.280.5372.2095</v>
      </c>
      <c r="BG744" t="s">
        <v>74</v>
      </c>
      <c r="BH744" t="s">
        <v>74</v>
      </c>
      <c r="BI744">
        <v>4</v>
      </c>
      <c r="BJ744" t="s">
        <v>3377</v>
      </c>
      <c r="BK744" t="s">
        <v>95</v>
      </c>
      <c r="BL744" t="s">
        <v>3378</v>
      </c>
      <c r="BM744" t="s">
        <v>9988</v>
      </c>
      <c r="BN744">
        <v>9641910</v>
      </c>
      <c r="BO744" t="s">
        <v>74</v>
      </c>
      <c r="BP744" t="s">
        <v>74</v>
      </c>
      <c r="BQ744" t="s">
        <v>74</v>
      </c>
      <c r="BR744" t="s">
        <v>98</v>
      </c>
      <c r="BS744" t="s">
        <v>9989</v>
      </c>
      <c r="BT744" t="str">
        <f>HYPERLINK("https%3A%2F%2Fwww.webofscience.com%2Fwos%2Fwoscc%2Ffull-record%2FWOS:000074435900038","View Full Record in Web of Science")</f>
        <v>View Full Record in Web of Science</v>
      </c>
    </row>
    <row r="745" spans="1:72" x14ac:dyDescent="0.15">
      <c r="A745" t="s">
        <v>72</v>
      </c>
      <c r="B745" t="s">
        <v>9990</v>
      </c>
      <c r="C745" t="s">
        <v>74</v>
      </c>
      <c r="D745" t="s">
        <v>74</v>
      </c>
      <c r="E745" t="s">
        <v>74</v>
      </c>
      <c r="F745" t="s">
        <v>9990</v>
      </c>
      <c r="G745" t="s">
        <v>74</v>
      </c>
      <c r="H745" t="s">
        <v>74</v>
      </c>
      <c r="I745" t="s">
        <v>9991</v>
      </c>
      <c r="J745" t="s">
        <v>6726</v>
      </c>
      <c r="K745" t="s">
        <v>74</v>
      </c>
      <c r="L745" t="s">
        <v>74</v>
      </c>
      <c r="M745" t="s">
        <v>77</v>
      </c>
      <c r="N745" t="s">
        <v>103</v>
      </c>
      <c r="O745" t="s">
        <v>74</v>
      </c>
      <c r="P745" t="s">
        <v>74</v>
      </c>
      <c r="Q745" t="s">
        <v>74</v>
      </c>
      <c r="R745" t="s">
        <v>74</v>
      </c>
      <c r="S745" t="s">
        <v>74</v>
      </c>
      <c r="T745" t="s">
        <v>74</v>
      </c>
      <c r="U745" t="s">
        <v>9992</v>
      </c>
      <c r="V745" t="s">
        <v>9993</v>
      </c>
      <c r="W745" t="s">
        <v>9994</v>
      </c>
      <c r="X745" t="s">
        <v>9995</v>
      </c>
      <c r="Y745" t="s">
        <v>9996</v>
      </c>
      <c r="Z745" t="s">
        <v>9997</v>
      </c>
      <c r="AA745" t="s">
        <v>74</v>
      </c>
      <c r="AB745" t="s">
        <v>9998</v>
      </c>
      <c r="AC745" t="s">
        <v>74</v>
      </c>
      <c r="AD745" t="s">
        <v>74</v>
      </c>
      <c r="AE745" t="s">
        <v>74</v>
      </c>
      <c r="AF745" t="s">
        <v>74</v>
      </c>
      <c r="AG745">
        <v>24</v>
      </c>
      <c r="AH745">
        <v>577</v>
      </c>
      <c r="AI745">
        <v>638</v>
      </c>
      <c r="AJ745">
        <v>5</v>
      </c>
      <c r="AK745">
        <v>178</v>
      </c>
      <c r="AL745" t="s">
        <v>9123</v>
      </c>
      <c r="AM745" t="s">
        <v>1121</v>
      </c>
      <c r="AN745" t="s">
        <v>9124</v>
      </c>
      <c r="AO745" t="s">
        <v>6733</v>
      </c>
      <c r="AP745" t="s">
        <v>74</v>
      </c>
      <c r="AQ745" t="s">
        <v>74</v>
      </c>
      <c r="AR745" t="s">
        <v>6726</v>
      </c>
      <c r="AS745" t="s">
        <v>6734</v>
      </c>
      <c r="AT745" t="s">
        <v>9999</v>
      </c>
      <c r="AU745">
        <v>1998</v>
      </c>
      <c r="AV745">
        <v>393</v>
      </c>
      <c r="AW745">
        <v>6687</v>
      </c>
      <c r="AX745" t="s">
        <v>74</v>
      </c>
      <c r="AY745" t="s">
        <v>74</v>
      </c>
      <c r="AZ745" t="s">
        <v>74</v>
      </c>
      <c r="BA745" t="s">
        <v>74</v>
      </c>
      <c r="BB745">
        <v>774</v>
      </c>
      <c r="BC745">
        <v>777</v>
      </c>
      <c r="BD745" t="s">
        <v>74</v>
      </c>
      <c r="BE745" t="s">
        <v>10000</v>
      </c>
      <c r="BF745" t="str">
        <f>HYPERLINK("http://dx.doi.org/10.1038/31674","http://dx.doi.org/10.1038/31674")</f>
        <v>http://dx.doi.org/10.1038/31674</v>
      </c>
      <c r="BG745" t="s">
        <v>74</v>
      </c>
      <c r="BH745" t="s">
        <v>74</v>
      </c>
      <c r="BI745">
        <v>4</v>
      </c>
      <c r="BJ745" t="s">
        <v>3377</v>
      </c>
      <c r="BK745" t="s">
        <v>95</v>
      </c>
      <c r="BL745" t="s">
        <v>3378</v>
      </c>
      <c r="BM745" t="s">
        <v>10001</v>
      </c>
      <c r="BN745" t="s">
        <v>74</v>
      </c>
      <c r="BO745" t="s">
        <v>74</v>
      </c>
      <c r="BP745" t="s">
        <v>74</v>
      </c>
      <c r="BQ745" t="s">
        <v>74</v>
      </c>
      <c r="BR745" t="s">
        <v>98</v>
      </c>
      <c r="BS745" t="s">
        <v>10002</v>
      </c>
      <c r="BT745" t="str">
        <f>HYPERLINK("https%3A%2F%2Fwww.webofscience.com%2Fwos%2Fwoscc%2Ffull-record%2FWOS:000074433100045","View Full Record in Web of Science")</f>
        <v>View Full Record in Web of Science</v>
      </c>
    </row>
    <row r="746" spans="1:72" x14ac:dyDescent="0.15">
      <c r="A746" t="s">
        <v>72</v>
      </c>
      <c r="B746" t="s">
        <v>10003</v>
      </c>
      <c r="C746" t="s">
        <v>74</v>
      </c>
      <c r="D746" t="s">
        <v>74</v>
      </c>
      <c r="E746" t="s">
        <v>74</v>
      </c>
      <c r="F746" t="s">
        <v>10003</v>
      </c>
      <c r="G746" t="s">
        <v>74</v>
      </c>
      <c r="H746" t="s">
        <v>74</v>
      </c>
      <c r="I746" t="s">
        <v>10004</v>
      </c>
      <c r="J746" t="s">
        <v>3639</v>
      </c>
      <c r="K746" t="s">
        <v>74</v>
      </c>
      <c r="L746" t="s">
        <v>74</v>
      </c>
      <c r="M746" t="s">
        <v>77</v>
      </c>
      <c r="N746" t="s">
        <v>103</v>
      </c>
      <c r="O746" t="s">
        <v>74</v>
      </c>
      <c r="P746" t="s">
        <v>74</v>
      </c>
      <c r="Q746" t="s">
        <v>74</v>
      </c>
      <c r="R746" t="s">
        <v>74</v>
      </c>
      <c r="S746" t="s">
        <v>74</v>
      </c>
      <c r="T746" t="s">
        <v>74</v>
      </c>
      <c r="U746" t="s">
        <v>10005</v>
      </c>
      <c r="V746" t="s">
        <v>10006</v>
      </c>
      <c r="W746" t="s">
        <v>10007</v>
      </c>
      <c r="X746" t="s">
        <v>10008</v>
      </c>
      <c r="Y746" t="s">
        <v>10009</v>
      </c>
      <c r="Z746" t="s">
        <v>10010</v>
      </c>
      <c r="AA746" t="s">
        <v>10011</v>
      </c>
      <c r="AB746" t="s">
        <v>10012</v>
      </c>
      <c r="AC746" t="s">
        <v>74</v>
      </c>
      <c r="AD746" t="s">
        <v>74</v>
      </c>
      <c r="AE746" t="s">
        <v>74</v>
      </c>
      <c r="AF746" t="s">
        <v>74</v>
      </c>
      <c r="AG746">
        <v>50</v>
      </c>
      <c r="AH746">
        <v>16</v>
      </c>
      <c r="AI746">
        <v>16</v>
      </c>
      <c r="AJ746">
        <v>0</v>
      </c>
      <c r="AK746">
        <v>10</v>
      </c>
      <c r="AL746" t="s">
        <v>3646</v>
      </c>
      <c r="AM746" t="s">
        <v>3647</v>
      </c>
      <c r="AN746" t="s">
        <v>3648</v>
      </c>
      <c r="AO746" t="s">
        <v>3649</v>
      </c>
      <c r="AP746" t="s">
        <v>74</v>
      </c>
      <c r="AQ746" t="s">
        <v>74</v>
      </c>
      <c r="AR746" t="s">
        <v>3650</v>
      </c>
      <c r="AS746" t="s">
        <v>3651</v>
      </c>
      <c r="AT746" t="s">
        <v>10013</v>
      </c>
      <c r="AU746">
        <v>1998</v>
      </c>
      <c r="AV746">
        <v>108</v>
      </c>
      <c r="AW746">
        <v>24</v>
      </c>
      <c r="AX746" t="s">
        <v>74</v>
      </c>
      <c r="AY746" t="s">
        <v>74</v>
      </c>
      <c r="AZ746" t="s">
        <v>74</v>
      </c>
      <c r="BA746" t="s">
        <v>74</v>
      </c>
      <c r="BB746">
        <v>10061</v>
      </c>
      <c r="BC746">
        <v>10069</v>
      </c>
      <c r="BD746" t="s">
        <v>74</v>
      </c>
      <c r="BE746" t="s">
        <v>10014</v>
      </c>
      <c r="BF746" t="str">
        <f>HYPERLINK("http://dx.doi.org/10.1063/1.476466","http://dx.doi.org/10.1063/1.476466")</f>
        <v>http://dx.doi.org/10.1063/1.476466</v>
      </c>
      <c r="BG746" t="s">
        <v>74</v>
      </c>
      <c r="BH746" t="s">
        <v>74</v>
      </c>
      <c r="BI746">
        <v>9</v>
      </c>
      <c r="BJ746" t="s">
        <v>3654</v>
      </c>
      <c r="BK746" t="s">
        <v>95</v>
      </c>
      <c r="BL746" t="s">
        <v>3655</v>
      </c>
      <c r="BM746" t="s">
        <v>10015</v>
      </c>
      <c r="BN746" t="s">
        <v>74</v>
      </c>
      <c r="BO746" t="s">
        <v>74</v>
      </c>
      <c r="BP746" t="s">
        <v>74</v>
      </c>
      <c r="BQ746" t="s">
        <v>74</v>
      </c>
      <c r="BR746" t="s">
        <v>98</v>
      </c>
      <c r="BS746" t="s">
        <v>10016</v>
      </c>
      <c r="BT746" t="str">
        <f>HYPERLINK("https%3A%2F%2Fwww.webofscience.com%2Fwos%2Fwoscc%2Ffull-record%2FWOS:000075256200012","View Full Record in Web of Science")</f>
        <v>View Full Record in Web of Science</v>
      </c>
    </row>
    <row r="747" spans="1:72" x14ac:dyDescent="0.15">
      <c r="A747" t="s">
        <v>72</v>
      </c>
      <c r="B747" t="s">
        <v>10017</v>
      </c>
      <c r="C747" t="s">
        <v>74</v>
      </c>
      <c r="D747" t="s">
        <v>74</v>
      </c>
      <c r="E747" t="s">
        <v>74</v>
      </c>
      <c r="F747" t="s">
        <v>10017</v>
      </c>
      <c r="G747" t="s">
        <v>74</v>
      </c>
      <c r="H747" t="s">
        <v>74</v>
      </c>
      <c r="I747" t="s">
        <v>10018</v>
      </c>
      <c r="J747" t="s">
        <v>4802</v>
      </c>
      <c r="K747" t="s">
        <v>74</v>
      </c>
      <c r="L747" t="s">
        <v>74</v>
      </c>
      <c r="M747" t="s">
        <v>77</v>
      </c>
      <c r="N747" t="s">
        <v>103</v>
      </c>
      <c r="O747" t="s">
        <v>74</v>
      </c>
      <c r="P747" t="s">
        <v>74</v>
      </c>
      <c r="Q747" t="s">
        <v>74</v>
      </c>
      <c r="R747" t="s">
        <v>74</v>
      </c>
      <c r="S747" t="s">
        <v>74</v>
      </c>
      <c r="T747" t="s">
        <v>74</v>
      </c>
      <c r="U747" t="s">
        <v>10019</v>
      </c>
      <c r="V747" t="s">
        <v>10020</v>
      </c>
      <c r="W747" t="s">
        <v>10021</v>
      </c>
      <c r="X747" t="s">
        <v>10022</v>
      </c>
      <c r="Y747" t="s">
        <v>10023</v>
      </c>
      <c r="Z747" t="s">
        <v>10024</v>
      </c>
      <c r="AA747" t="s">
        <v>74</v>
      </c>
      <c r="AB747" t="s">
        <v>10025</v>
      </c>
      <c r="AC747" t="s">
        <v>74</v>
      </c>
      <c r="AD747" t="s">
        <v>74</v>
      </c>
      <c r="AE747" t="s">
        <v>74</v>
      </c>
      <c r="AF747" t="s">
        <v>74</v>
      </c>
      <c r="AG747">
        <v>36</v>
      </c>
      <c r="AH747">
        <v>41</v>
      </c>
      <c r="AI747">
        <v>42</v>
      </c>
      <c r="AJ747">
        <v>0</v>
      </c>
      <c r="AK747">
        <v>3</v>
      </c>
      <c r="AL747" t="s">
        <v>966</v>
      </c>
      <c r="AM747" t="s">
        <v>967</v>
      </c>
      <c r="AN747" t="s">
        <v>968</v>
      </c>
      <c r="AO747" t="s">
        <v>4811</v>
      </c>
      <c r="AP747" t="s">
        <v>74</v>
      </c>
      <c r="AQ747" t="s">
        <v>74</v>
      </c>
      <c r="AR747" t="s">
        <v>4813</v>
      </c>
      <c r="AS747" t="s">
        <v>4814</v>
      </c>
      <c r="AT747" t="s">
        <v>10026</v>
      </c>
      <c r="AU747">
        <v>1998</v>
      </c>
      <c r="AV747">
        <v>103</v>
      </c>
      <c r="AW747" t="s">
        <v>10027</v>
      </c>
      <c r="AX747" t="s">
        <v>74</v>
      </c>
      <c r="AY747" t="s">
        <v>74</v>
      </c>
      <c r="AZ747" t="s">
        <v>74</v>
      </c>
      <c r="BA747" t="s">
        <v>74</v>
      </c>
      <c r="BB747">
        <v>13261</v>
      </c>
      <c r="BC747">
        <v>13265</v>
      </c>
      <c r="BD747" t="s">
        <v>74</v>
      </c>
      <c r="BE747" t="s">
        <v>10028</v>
      </c>
      <c r="BF747" t="str">
        <f>HYPERLINK("http://dx.doi.org/10.1029/98JD00921","http://dx.doi.org/10.1029/98JD00921")</f>
        <v>http://dx.doi.org/10.1029/98JD00921</v>
      </c>
      <c r="BG747" t="s">
        <v>74</v>
      </c>
      <c r="BH747" t="s">
        <v>74</v>
      </c>
      <c r="BI747">
        <v>5</v>
      </c>
      <c r="BJ747" t="s">
        <v>1418</v>
      </c>
      <c r="BK747" t="s">
        <v>95</v>
      </c>
      <c r="BL747" t="s">
        <v>1418</v>
      </c>
      <c r="BM747" t="s">
        <v>10029</v>
      </c>
      <c r="BN747" t="s">
        <v>74</v>
      </c>
      <c r="BO747" t="s">
        <v>1089</v>
      </c>
      <c r="BP747" t="s">
        <v>74</v>
      </c>
      <c r="BQ747" t="s">
        <v>74</v>
      </c>
      <c r="BR747" t="s">
        <v>98</v>
      </c>
      <c r="BS747" t="s">
        <v>10030</v>
      </c>
      <c r="BT747" t="str">
        <f>HYPERLINK("https%3A%2F%2Fwww.webofscience.com%2Fwos%2Fwoscc%2Ffull-record%2FWOS:000074325200014","View Full Record in Web of Science")</f>
        <v>View Full Record in Web of Science</v>
      </c>
    </row>
    <row r="748" spans="1:72" x14ac:dyDescent="0.15">
      <c r="A748" t="s">
        <v>72</v>
      </c>
      <c r="B748" t="s">
        <v>10031</v>
      </c>
      <c r="C748" t="s">
        <v>74</v>
      </c>
      <c r="D748" t="s">
        <v>74</v>
      </c>
      <c r="E748" t="s">
        <v>74</v>
      </c>
      <c r="F748" t="s">
        <v>10031</v>
      </c>
      <c r="G748" t="s">
        <v>74</v>
      </c>
      <c r="H748" t="s">
        <v>74</v>
      </c>
      <c r="I748" t="s">
        <v>10032</v>
      </c>
      <c r="J748" t="s">
        <v>4802</v>
      </c>
      <c r="K748" t="s">
        <v>74</v>
      </c>
      <c r="L748" t="s">
        <v>74</v>
      </c>
      <c r="M748" t="s">
        <v>77</v>
      </c>
      <c r="N748" t="s">
        <v>103</v>
      </c>
      <c r="O748" t="s">
        <v>74</v>
      </c>
      <c r="P748" t="s">
        <v>74</v>
      </c>
      <c r="Q748" t="s">
        <v>74</v>
      </c>
      <c r="R748" t="s">
        <v>74</v>
      </c>
      <c r="S748" t="s">
        <v>74</v>
      </c>
      <c r="T748" t="s">
        <v>74</v>
      </c>
      <c r="U748" t="s">
        <v>10033</v>
      </c>
      <c r="V748" t="s">
        <v>10034</v>
      </c>
      <c r="W748" t="s">
        <v>10035</v>
      </c>
      <c r="X748" t="s">
        <v>10036</v>
      </c>
      <c r="Y748" t="s">
        <v>10037</v>
      </c>
      <c r="Z748" t="s">
        <v>10038</v>
      </c>
      <c r="AA748" t="s">
        <v>10039</v>
      </c>
      <c r="AB748" t="s">
        <v>74</v>
      </c>
      <c r="AC748" t="s">
        <v>74</v>
      </c>
      <c r="AD748" t="s">
        <v>74</v>
      </c>
      <c r="AE748" t="s">
        <v>74</v>
      </c>
      <c r="AF748" t="s">
        <v>74</v>
      </c>
      <c r="AG748">
        <v>90</v>
      </c>
      <c r="AH748">
        <v>50</v>
      </c>
      <c r="AI748">
        <v>51</v>
      </c>
      <c r="AJ748">
        <v>0</v>
      </c>
      <c r="AK748">
        <v>2</v>
      </c>
      <c r="AL748" t="s">
        <v>966</v>
      </c>
      <c r="AM748" t="s">
        <v>967</v>
      </c>
      <c r="AN748" t="s">
        <v>968</v>
      </c>
      <c r="AO748" t="s">
        <v>4811</v>
      </c>
      <c r="AP748" t="s">
        <v>4812</v>
      </c>
      <c r="AQ748" t="s">
        <v>74</v>
      </c>
      <c r="AR748" t="s">
        <v>4813</v>
      </c>
      <c r="AS748" t="s">
        <v>4814</v>
      </c>
      <c r="AT748" t="s">
        <v>10026</v>
      </c>
      <c r="AU748">
        <v>1998</v>
      </c>
      <c r="AV748">
        <v>103</v>
      </c>
      <c r="AW748" t="s">
        <v>10027</v>
      </c>
      <c r="AX748" t="s">
        <v>74</v>
      </c>
      <c r="AY748" t="s">
        <v>74</v>
      </c>
      <c r="AZ748" t="s">
        <v>74</v>
      </c>
      <c r="BA748" t="s">
        <v>74</v>
      </c>
      <c r="BB748">
        <v>13285</v>
      </c>
      <c r="BC748">
        <v>13313</v>
      </c>
      <c r="BD748" t="s">
        <v>74</v>
      </c>
      <c r="BE748" t="s">
        <v>10040</v>
      </c>
      <c r="BF748" t="str">
        <f>HYPERLINK("http://dx.doi.org/10.1029/98JD00365","http://dx.doi.org/10.1029/98JD00365")</f>
        <v>http://dx.doi.org/10.1029/98JD00365</v>
      </c>
      <c r="BG748" t="s">
        <v>74</v>
      </c>
      <c r="BH748" t="s">
        <v>74</v>
      </c>
      <c r="BI748">
        <v>29</v>
      </c>
      <c r="BJ748" t="s">
        <v>1418</v>
      </c>
      <c r="BK748" t="s">
        <v>95</v>
      </c>
      <c r="BL748" t="s">
        <v>1418</v>
      </c>
      <c r="BM748" t="s">
        <v>10029</v>
      </c>
      <c r="BN748" t="s">
        <v>74</v>
      </c>
      <c r="BO748" t="s">
        <v>74</v>
      </c>
      <c r="BP748" t="s">
        <v>74</v>
      </c>
      <c r="BQ748" t="s">
        <v>74</v>
      </c>
      <c r="BR748" t="s">
        <v>98</v>
      </c>
      <c r="BS748" t="s">
        <v>10041</v>
      </c>
      <c r="BT748" t="str">
        <f>HYPERLINK("https%3A%2F%2Fwww.webofscience.com%2Fwos%2Fwoscc%2Ffull-record%2FWOS:000074325200016","View Full Record in Web of Science")</f>
        <v>View Full Record in Web of Science</v>
      </c>
    </row>
    <row r="749" spans="1:72" x14ac:dyDescent="0.15">
      <c r="A749" t="s">
        <v>72</v>
      </c>
      <c r="B749" t="s">
        <v>10042</v>
      </c>
      <c r="C749" t="s">
        <v>74</v>
      </c>
      <c r="D749" t="s">
        <v>74</v>
      </c>
      <c r="E749" t="s">
        <v>74</v>
      </c>
      <c r="F749" t="s">
        <v>10042</v>
      </c>
      <c r="G749" t="s">
        <v>74</v>
      </c>
      <c r="H749" t="s">
        <v>74</v>
      </c>
      <c r="I749" t="s">
        <v>10043</v>
      </c>
      <c r="J749" t="s">
        <v>3825</v>
      </c>
      <c r="K749" t="s">
        <v>74</v>
      </c>
      <c r="L749" t="s">
        <v>74</v>
      </c>
      <c r="M749" t="s">
        <v>77</v>
      </c>
      <c r="N749" t="s">
        <v>123</v>
      </c>
      <c r="O749" t="s">
        <v>10044</v>
      </c>
      <c r="P749" t="s">
        <v>10045</v>
      </c>
      <c r="Q749" t="s">
        <v>2376</v>
      </c>
      <c r="R749" t="s">
        <v>74</v>
      </c>
      <c r="S749" t="s">
        <v>74</v>
      </c>
      <c r="T749" t="s">
        <v>74</v>
      </c>
      <c r="U749" t="s">
        <v>10046</v>
      </c>
      <c r="V749" t="s">
        <v>10047</v>
      </c>
      <c r="W749" t="s">
        <v>3313</v>
      </c>
      <c r="X749" t="s">
        <v>1500</v>
      </c>
      <c r="Y749" t="s">
        <v>10048</v>
      </c>
      <c r="Z749" t="s">
        <v>10049</v>
      </c>
      <c r="AA749" t="s">
        <v>74</v>
      </c>
      <c r="AB749" t="s">
        <v>6597</v>
      </c>
      <c r="AC749" t="s">
        <v>74</v>
      </c>
      <c r="AD749" t="s">
        <v>74</v>
      </c>
      <c r="AE749" t="s">
        <v>74</v>
      </c>
      <c r="AF749" t="s">
        <v>74</v>
      </c>
      <c r="AG749">
        <v>67</v>
      </c>
      <c r="AH749">
        <v>117</v>
      </c>
      <c r="AI749">
        <v>126</v>
      </c>
      <c r="AJ749">
        <v>0</v>
      </c>
      <c r="AK749">
        <v>22</v>
      </c>
      <c r="AL749" t="s">
        <v>966</v>
      </c>
      <c r="AM749" t="s">
        <v>967</v>
      </c>
      <c r="AN749" t="s">
        <v>968</v>
      </c>
      <c r="AO749" t="s">
        <v>3833</v>
      </c>
      <c r="AP749" t="s">
        <v>3834</v>
      </c>
      <c r="AQ749" t="s">
        <v>74</v>
      </c>
      <c r="AR749" t="s">
        <v>3835</v>
      </c>
      <c r="AS749" t="s">
        <v>3836</v>
      </c>
      <c r="AT749" t="s">
        <v>10050</v>
      </c>
      <c r="AU749">
        <v>1998</v>
      </c>
      <c r="AV749">
        <v>103</v>
      </c>
      <c r="AW749" t="s">
        <v>10051</v>
      </c>
      <c r="AX749" t="s">
        <v>74</v>
      </c>
      <c r="AY749" t="s">
        <v>74</v>
      </c>
      <c r="AZ749" t="s">
        <v>74</v>
      </c>
      <c r="BA749" t="s">
        <v>74</v>
      </c>
      <c r="BB749">
        <v>12899</v>
      </c>
      <c r="BC749">
        <v>12918</v>
      </c>
      <c r="BD749" t="s">
        <v>74</v>
      </c>
      <c r="BE749" t="s">
        <v>10052</v>
      </c>
      <c r="BF749" t="str">
        <f>HYPERLINK("http://dx.doi.org/10.1029/97JC03415","http://dx.doi.org/10.1029/97JC03415")</f>
        <v>http://dx.doi.org/10.1029/97JC03415</v>
      </c>
      <c r="BG749" t="s">
        <v>74</v>
      </c>
      <c r="BH749" t="s">
        <v>74</v>
      </c>
      <c r="BI749">
        <v>20</v>
      </c>
      <c r="BJ749" t="s">
        <v>451</v>
      </c>
      <c r="BK749" t="s">
        <v>144</v>
      </c>
      <c r="BL749" t="s">
        <v>451</v>
      </c>
      <c r="BM749" t="s">
        <v>10053</v>
      </c>
      <c r="BN749" t="s">
        <v>74</v>
      </c>
      <c r="BO749" t="s">
        <v>74</v>
      </c>
      <c r="BP749" t="s">
        <v>74</v>
      </c>
      <c r="BQ749" t="s">
        <v>74</v>
      </c>
      <c r="BR749" t="s">
        <v>98</v>
      </c>
      <c r="BS749" t="s">
        <v>10054</v>
      </c>
      <c r="BT749" t="str">
        <f>HYPERLINK("https%3A%2F%2Fwww.webofscience.com%2Fwos%2Fwoscc%2Ffull-record%2FWOS:000074160900025","View Full Record in Web of Science")</f>
        <v>View Full Record in Web of Science</v>
      </c>
    </row>
    <row r="750" spans="1:72" x14ac:dyDescent="0.15">
      <c r="A750" t="s">
        <v>72</v>
      </c>
      <c r="B750" t="s">
        <v>10055</v>
      </c>
      <c r="C750" t="s">
        <v>74</v>
      </c>
      <c r="D750" t="s">
        <v>74</v>
      </c>
      <c r="E750" t="s">
        <v>74</v>
      </c>
      <c r="F750" t="s">
        <v>10055</v>
      </c>
      <c r="G750" t="s">
        <v>74</v>
      </c>
      <c r="H750" t="s">
        <v>74</v>
      </c>
      <c r="I750" t="s">
        <v>10056</v>
      </c>
      <c r="J750" t="s">
        <v>3825</v>
      </c>
      <c r="K750" t="s">
        <v>74</v>
      </c>
      <c r="L750" t="s">
        <v>74</v>
      </c>
      <c r="M750" t="s">
        <v>77</v>
      </c>
      <c r="N750" t="s">
        <v>123</v>
      </c>
      <c r="O750" t="s">
        <v>10044</v>
      </c>
      <c r="P750" t="s">
        <v>10045</v>
      </c>
      <c r="Q750" t="s">
        <v>2376</v>
      </c>
      <c r="R750" t="s">
        <v>74</v>
      </c>
      <c r="S750" t="s">
        <v>74</v>
      </c>
      <c r="T750" t="s">
        <v>74</v>
      </c>
      <c r="U750" t="s">
        <v>10057</v>
      </c>
      <c r="V750" t="s">
        <v>10058</v>
      </c>
      <c r="W750" t="s">
        <v>10059</v>
      </c>
      <c r="X750" t="s">
        <v>2513</v>
      </c>
      <c r="Y750" t="s">
        <v>10060</v>
      </c>
      <c r="Z750" t="s">
        <v>10061</v>
      </c>
      <c r="AA750" t="s">
        <v>10062</v>
      </c>
      <c r="AB750" t="s">
        <v>74</v>
      </c>
      <c r="AC750" t="s">
        <v>74</v>
      </c>
      <c r="AD750" t="s">
        <v>74</v>
      </c>
      <c r="AE750" t="s">
        <v>74</v>
      </c>
      <c r="AF750" t="s">
        <v>74</v>
      </c>
      <c r="AG750">
        <v>39</v>
      </c>
      <c r="AH750">
        <v>17</v>
      </c>
      <c r="AI750">
        <v>18</v>
      </c>
      <c r="AJ750">
        <v>0</v>
      </c>
      <c r="AK750">
        <v>4</v>
      </c>
      <c r="AL750" t="s">
        <v>966</v>
      </c>
      <c r="AM750" t="s">
        <v>967</v>
      </c>
      <c r="AN750" t="s">
        <v>968</v>
      </c>
      <c r="AO750" t="s">
        <v>3833</v>
      </c>
      <c r="AP750" t="s">
        <v>3834</v>
      </c>
      <c r="AQ750" t="s">
        <v>74</v>
      </c>
      <c r="AR750" t="s">
        <v>3835</v>
      </c>
      <c r="AS750" t="s">
        <v>3836</v>
      </c>
      <c r="AT750" t="s">
        <v>10050</v>
      </c>
      <c r="AU750">
        <v>1998</v>
      </c>
      <c r="AV750">
        <v>103</v>
      </c>
      <c r="AW750" t="s">
        <v>10051</v>
      </c>
      <c r="AX750" t="s">
        <v>74</v>
      </c>
      <c r="AY750" t="s">
        <v>74</v>
      </c>
      <c r="AZ750" t="s">
        <v>74</v>
      </c>
      <c r="BA750" t="s">
        <v>74</v>
      </c>
      <c r="BB750">
        <v>13011</v>
      </c>
      <c r="BC750">
        <v>13022</v>
      </c>
      <c r="BD750" t="s">
        <v>74</v>
      </c>
      <c r="BE750" t="s">
        <v>10063</v>
      </c>
      <c r="BF750" t="str">
        <f>HYPERLINK("http://dx.doi.org/10.1029/98JC00449","http://dx.doi.org/10.1029/98JC00449")</f>
        <v>http://dx.doi.org/10.1029/98JC00449</v>
      </c>
      <c r="BG750" t="s">
        <v>74</v>
      </c>
      <c r="BH750" t="s">
        <v>74</v>
      </c>
      <c r="BI750">
        <v>12</v>
      </c>
      <c r="BJ750" t="s">
        <v>451</v>
      </c>
      <c r="BK750" t="s">
        <v>144</v>
      </c>
      <c r="BL750" t="s">
        <v>451</v>
      </c>
      <c r="BM750" t="s">
        <v>10053</v>
      </c>
      <c r="BN750" t="s">
        <v>74</v>
      </c>
      <c r="BO750" t="s">
        <v>1089</v>
      </c>
      <c r="BP750" t="s">
        <v>74</v>
      </c>
      <c r="BQ750" t="s">
        <v>74</v>
      </c>
      <c r="BR750" t="s">
        <v>98</v>
      </c>
      <c r="BS750" t="s">
        <v>10064</v>
      </c>
      <c r="BT750" t="str">
        <f>HYPERLINK("https%3A%2F%2Fwww.webofscience.com%2Fwos%2Fwoscc%2Ffull-record%2FWOS:000074160900030","View Full Record in Web of Science")</f>
        <v>View Full Record in Web of Science</v>
      </c>
    </row>
    <row r="751" spans="1:72" x14ac:dyDescent="0.15">
      <c r="A751" t="s">
        <v>72</v>
      </c>
      <c r="B751" t="s">
        <v>10065</v>
      </c>
      <c r="C751" t="s">
        <v>74</v>
      </c>
      <c r="D751" t="s">
        <v>74</v>
      </c>
      <c r="E751" t="s">
        <v>74</v>
      </c>
      <c r="F751" t="s">
        <v>10065</v>
      </c>
      <c r="G751" t="s">
        <v>74</v>
      </c>
      <c r="H751" t="s">
        <v>74</v>
      </c>
      <c r="I751" t="s">
        <v>10066</v>
      </c>
      <c r="J751" t="s">
        <v>3728</v>
      </c>
      <c r="K751" t="s">
        <v>74</v>
      </c>
      <c r="L751" t="s">
        <v>74</v>
      </c>
      <c r="M751" t="s">
        <v>77</v>
      </c>
      <c r="N751" t="s">
        <v>103</v>
      </c>
      <c r="O751" t="s">
        <v>74</v>
      </c>
      <c r="P751" t="s">
        <v>74</v>
      </c>
      <c r="Q751" t="s">
        <v>74</v>
      </c>
      <c r="R751" t="s">
        <v>74</v>
      </c>
      <c r="S751" t="s">
        <v>74</v>
      </c>
      <c r="T751" t="s">
        <v>74</v>
      </c>
      <c r="U751" t="s">
        <v>10067</v>
      </c>
      <c r="V751" t="s">
        <v>10068</v>
      </c>
      <c r="W751" t="s">
        <v>10069</v>
      </c>
      <c r="X751" t="s">
        <v>10070</v>
      </c>
      <c r="Y751" t="s">
        <v>10071</v>
      </c>
      <c r="Z751" t="s">
        <v>74</v>
      </c>
      <c r="AA751" t="s">
        <v>74</v>
      </c>
      <c r="AB751" t="s">
        <v>10072</v>
      </c>
      <c r="AC751" t="s">
        <v>74</v>
      </c>
      <c r="AD751" t="s">
        <v>74</v>
      </c>
      <c r="AE751" t="s">
        <v>74</v>
      </c>
      <c r="AF751" t="s">
        <v>74</v>
      </c>
      <c r="AG751">
        <v>48</v>
      </c>
      <c r="AH751">
        <v>58</v>
      </c>
      <c r="AI751">
        <v>64</v>
      </c>
      <c r="AJ751">
        <v>0</v>
      </c>
      <c r="AK751">
        <v>7</v>
      </c>
      <c r="AL751" t="s">
        <v>3735</v>
      </c>
      <c r="AM751" t="s">
        <v>1740</v>
      </c>
      <c r="AN751" t="s">
        <v>3928</v>
      </c>
      <c r="AO751" t="s">
        <v>3738</v>
      </c>
      <c r="AP751" t="s">
        <v>74</v>
      </c>
      <c r="AQ751" t="s">
        <v>74</v>
      </c>
      <c r="AR751" t="s">
        <v>3740</v>
      </c>
      <c r="AS751" t="s">
        <v>3741</v>
      </c>
      <c r="AT751" t="s">
        <v>10073</v>
      </c>
      <c r="AU751">
        <v>1998</v>
      </c>
      <c r="AV751">
        <v>273</v>
      </c>
      <c r="AW751">
        <v>24</v>
      </c>
      <c r="AX751" t="s">
        <v>74</v>
      </c>
      <c r="AY751" t="s">
        <v>74</v>
      </c>
      <c r="AZ751" t="s">
        <v>74</v>
      </c>
      <c r="BA751" t="s">
        <v>74</v>
      </c>
      <c r="BB751">
        <v>14745</v>
      </c>
      <c r="BC751">
        <v>14752</v>
      </c>
      <c r="BD751" t="s">
        <v>74</v>
      </c>
      <c r="BE751" t="s">
        <v>10074</v>
      </c>
      <c r="BF751" t="str">
        <f>HYPERLINK("http://dx.doi.org/10.1074/jbc.273.24.14745","http://dx.doi.org/10.1074/jbc.273.24.14745")</f>
        <v>http://dx.doi.org/10.1074/jbc.273.24.14745</v>
      </c>
      <c r="BG751" t="s">
        <v>74</v>
      </c>
      <c r="BH751" t="s">
        <v>74</v>
      </c>
      <c r="BI751">
        <v>8</v>
      </c>
      <c r="BJ751" t="s">
        <v>3744</v>
      </c>
      <c r="BK751" t="s">
        <v>95</v>
      </c>
      <c r="BL751" t="s">
        <v>3744</v>
      </c>
      <c r="BM751" t="s">
        <v>10075</v>
      </c>
      <c r="BN751">
        <v>9614073</v>
      </c>
      <c r="BO751" t="s">
        <v>74</v>
      </c>
      <c r="BP751" t="s">
        <v>74</v>
      </c>
      <c r="BQ751" t="s">
        <v>74</v>
      </c>
      <c r="BR751" t="s">
        <v>98</v>
      </c>
      <c r="BS751" t="s">
        <v>10076</v>
      </c>
      <c r="BT751" t="str">
        <f>HYPERLINK("https%3A%2F%2Fwww.webofscience.com%2Fwos%2Fwoscc%2Ffull-record%2FWOS:000074160400015","View Full Record in Web of Science")</f>
        <v>View Full Record in Web of Science</v>
      </c>
    </row>
    <row r="752" spans="1:72" x14ac:dyDescent="0.15">
      <c r="A752" t="s">
        <v>72</v>
      </c>
      <c r="B752" t="s">
        <v>10077</v>
      </c>
      <c r="C752" t="s">
        <v>74</v>
      </c>
      <c r="D752" t="s">
        <v>74</v>
      </c>
      <c r="E752" t="s">
        <v>74</v>
      </c>
      <c r="F752" t="s">
        <v>10077</v>
      </c>
      <c r="G752" t="s">
        <v>74</v>
      </c>
      <c r="H752" t="s">
        <v>74</v>
      </c>
      <c r="I752" t="s">
        <v>10078</v>
      </c>
      <c r="J752" t="s">
        <v>6106</v>
      </c>
      <c r="K752" t="s">
        <v>74</v>
      </c>
      <c r="L752" t="s">
        <v>74</v>
      </c>
      <c r="M752" t="s">
        <v>77</v>
      </c>
      <c r="N752" t="s">
        <v>103</v>
      </c>
      <c r="O752" t="s">
        <v>74</v>
      </c>
      <c r="P752" t="s">
        <v>74</v>
      </c>
      <c r="Q752" t="s">
        <v>74</v>
      </c>
      <c r="R752" t="s">
        <v>74</v>
      </c>
      <c r="S752" t="s">
        <v>74</v>
      </c>
      <c r="T752" t="s">
        <v>74</v>
      </c>
      <c r="U752" t="s">
        <v>10079</v>
      </c>
      <c r="V752" t="s">
        <v>10080</v>
      </c>
      <c r="W752" t="s">
        <v>10081</v>
      </c>
      <c r="X752" t="s">
        <v>10082</v>
      </c>
      <c r="Y752" t="s">
        <v>10083</v>
      </c>
      <c r="Z752" t="s">
        <v>10084</v>
      </c>
      <c r="AA752" t="s">
        <v>74</v>
      </c>
      <c r="AB752" t="s">
        <v>74</v>
      </c>
      <c r="AC752" t="s">
        <v>74</v>
      </c>
      <c r="AD752" t="s">
        <v>74</v>
      </c>
      <c r="AE752" t="s">
        <v>74</v>
      </c>
      <c r="AF752" t="s">
        <v>74</v>
      </c>
      <c r="AG752">
        <v>35</v>
      </c>
      <c r="AH752">
        <v>74</v>
      </c>
      <c r="AI752">
        <v>78</v>
      </c>
      <c r="AJ752">
        <v>2</v>
      </c>
      <c r="AK752">
        <v>13</v>
      </c>
      <c r="AL752" t="s">
        <v>966</v>
      </c>
      <c r="AM752" t="s">
        <v>967</v>
      </c>
      <c r="AN752" t="s">
        <v>968</v>
      </c>
      <c r="AO752" t="s">
        <v>6114</v>
      </c>
      <c r="AP752" t="s">
        <v>6115</v>
      </c>
      <c r="AQ752" t="s">
        <v>74</v>
      </c>
      <c r="AR752" t="s">
        <v>6116</v>
      </c>
      <c r="AS752" t="s">
        <v>6117</v>
      </c>
      <c r="AT752" t="s">
        <v>10085</v>
      </c>
      <c r="AU752">
        <v>1998</v>
      </c>
      <c r="AV752">
        <v>103</v>
      </c>
      <c r="AW752" t="s">
        <v>10086</v>
      </c>
      <c r="AX752" t="s">
        <v>74</v>
      </c>
      <c r="AY752" t="s">
        <v>74</v>
      </c>
      <c r="AZ752" t="s">
        <v>74</v>
      </c>
      <c r="BA752" t="s">
        <v>74</v>
      </c>
      <c r="BB752">
        <v>12111</v>
      </c>
      <c r="BC752">
        <v>12122</v>
      </c>
      <c r="BD752" t="s">
        <v>74</v>
      </c>
      <c r="BE752" t="s">
        <v>10087</v>
      </c>
      <c r="BF752" t="str">
        <f>HYPERLINK("http://dx.doi.org/10.1029/98JB00574","http://dx.doi.org/10.1029/98JB00574")</f>
        <v>http://dx.doi.org/10.1029/98JB00574</v>
      </c>
      <c r="BG752" t="s">
        <v>74</v>
      </c>
      <c r="BH752" t="s">
        <v>74</v>
      </c>
      <c r="BI752">
        <v>12</v>
      </c>
      <c r="BJ752" t="s">
        <v>303</v>
      </c>
      <c r="BK752" t="s">
        <v>95</v>
      </c>
      <c r="BL752" t="s">
        <v>303</v>
      </c>
      <c r="BM752" t="s">
        <v>10088</v>
      </c>
      <c r="BN752" t="s">
        <v>74</v>
      </c>
      <c r="BO752" t="s">
        <v>1089</v>
      </c>
      <c r="BP752" t="s">
        <v>74</v>
      </c>
      <c r="BQ752" t="s">
        <v>74</v>
      </c>
      <c r="BR752" t="s">
        <v>98</v>
      </c>
      <c r="BS752" t="s">
        <v>10089</v>
      </c>
      <c r="BT752" t="str">
        <f>HYPERLINK("https%3A%2F%2Fwww.webofscience.com%2Fwos%2Fwoscc%2Ffull-record%2FWOS:000074160800001","View Full Record in Web of Science")</f>
        <v>View Full Record in Web of Science</v>
      </c>
    </row>
    <row r="753" spans="1:72" x14ac:dyDescent="0.15">
      <c r="A753" t="s">
        <v>72</v>
      </c>
      <c r="B753" t="s">
        <v>10090</v>
      </c>
      <c r="C753" t="s">
        <v>74</v>
      </c>
      <c r="D753" t="s">
        <v>74</v>
      </c>
      <c r="E753" t="s">
        <v>74</v>
      </c>
      <c r="F753" t="s">
        <v>10090</v>
      </c>
      <c r="G753" t="s">
        <v>74</v>
      </c>
      <c r="H753" t="s">
        <v>74</v>
      </c>
      <c r="I753" t="s">
        <v>10091</v>
      </c>
      <c r="J753" t="s">
        <v>3660</v>
      </c>
      <c r="K753" t="s">
        <v>74</v>
      </c>
      <c r="L753" t="s">
        <v>74</v>
      </c>
      <c r="M753" t="s">
        <v>77</v>
      </c>
      <c r="N753" t="s">
        <v>103</v>
      </c>
      <c r="O753" t="s">
        <v>74</v>
      </c>
      <c r="P753" t="s">
        <v>74</v>
      </c>
      <c r="Q753" t="s">
        <v>74</v>
      </c>
      <c r="R753" t="s">
        <v>74</v>
      </c>
      <c r="S753" t="s">
        <v>74</v>
      </c>
      <c r="T753" t="s">
        <v>10092</v>
      </c>
      <c r="U753" t="s">
        <v>10093</v>
      </c>
      <c r="V753" t="s">
        <v>10094</v>
      </c>
      <c r="W753" t="s">
        <v>10095</v>
      </c>
      <c r="X753" t="s">
        <v>10096</v>
      </c>
      <c r="Y753" t="s">
        <v>10097</v>
      </c>
      <c r="Z753" t="s">
        <v>74</v>
      </c>
      <c r="AA753" t="s">
        <v>10098</v>
      </c>
      <c r="AB753" t="s">
        <v>74</v>
      </c>
      <c r="AC753" t="s">
        <v>74</v>
      </c>
      <c r="AD753" t="s">
        <v>74</v>
      </c>
      <c r="AE753" t="s">
        <v>74</v>
      </c>
      <c r="AF753" t="s">
        <v>74</v>
      </c>
      <c r="AG753">
        <v>36</v>
      </c>
      <c r="AH753">
        <v>91</v>
      </c>
      <c r="AI753">
        <v>95</v>
      </c>
      <c r="AJ753">
        <v>0</v>
      </c>
      <c r="AK753">
        <v>11</v>
      </c>
      <c r="AL753" t="s">
        <v>3670</v>
      </c>
      <c r="AM753" t="s">
        <v>1121</v>
      </c>
      <c r="AN753" t="s">
        <v>3671</v>
      </c>
      <c r="AO753" t="s">
        <v>3672</v>
      </c>
      <c r="AP753" t="s">
        <v>10099</v>
      </c>
      <c r="AQ753" t="s">
        <v>74</v>
      </c>
      <c r="AR753" t="s">
        <v>3673</v>
      </c>
      <c r="AS753" t="s">
        <v>3674</v>
      </c>
      <c r="AT753" t="s">
        <v>10100</v>
      </c>
      <c r="AU753">
        <v>1998</v>
      </c>
      <c r="AV753">
        <v>265</v>
      </c>
      <c r="AW753">
        <v>1400</v>
      </c>
      <c r="AX753" t="s">
        <v>74</v>
      </c>
      <c r="AY753" t="s">
        <v>74</v>
      </c>
      <c r="AZ753" t="s">
        <v>74</v>
      </c>
      <c r="BA753" t="s">
        <v>74</v>
      </c>
      <c r="BB753">
        <v>1001</v>
      </c>
      <c r="BC753">
        <v>1006</v>
      </c>
      <c r="BD753" t="s">
        <v>74</v>
      </c>
      <c r="BE753" t="s">
        <v>10101</v>
      </c>
      <c r="BF753" t="str">
        <f>HYPERLINK("http://dx.doi.org/10.1098/rspb.1998.0390","http://dx.doi.org/10.1098/rspb.1998.0390")</f>
        <v>http://dx.doi.org/10.1098/rspb.1998.0390</v>
      </c>
      <c r="BG753" t="s">
        <v>74</v>
      </c>
      <c r="BH753" t="s">
        <v>74</v>
      </c>
      <c r="BI753">
        <v>6</v>
      </c>
      <c r="BJ753" t="s">
        <v>3676</v>
      </c>
      <c r="BK753" t="s">
        <v>95</v>
      </c>
      <c r="BL753" t="s">
        <v>3677</v>
      </c>
      <c r="BM753" t="s">
        <v>10102</v>
      </c>
      <c r="BN753" t="s">
        <v>74</v>
      </c>
      <c r="BO753" t="s">
        <v>1005</v>
      </c>
      <c r="BP753" t="s">
        <v>74</v>
      </c>
      <c r="BQ753" t="s">
        <v>74</v>
      </c>
      <c r="BR753" t="s">
        <v>98</v>
      </c>
      <c r="BS753" t="s">
        <v>10103</v>
      </c>
      <c r="BT753" t="str">
        <f>HYPERLINK("https%3A%2F%2Fwww.webofscience.com%2Fwos%2Fwoscc%2Ffull-record%2FWOS:000074195200009","View Full Record in Web of Science")</f>
        <v>View Full Record in Web of Science</v>
      </c>
    </row>
    <row r="754" spans="1:72" x14ac:dyDescent="0.15">
      <c r="A754" t="s">
        <v>72</v>
      </c>
      <c r="B754" t="s">
        <v>10104</v>
      </c>
      <c r="C754" t="s">
        <v>74</v>
      </c>
      <c r="D754" t="s">
        <v>74</v>
      </c>
      <c r="E754" t="s">
        <v>74</v>
      </c>
      <c r="F754" t="s">
        <v>10104</v>
      </c>
      <c r="G754" t="s">
        <v>74</v>
      </c>
      <c r="H754" t="s">
        <v>74</v>
      </c>
      <c r="I754" t="s">
        <v>10105</v>
      </c>
      <c r="J754" t="s">
        <v>6726</v>
      </c>
      <c r="K754" t="s">
        <v>74</v>
      </c>
      <c r="L754" t="s">
        <v>74</v>
      </c>
      <c r="M754" t="s">
        <v>77</v>
      </c>
      <c r="N754" t="s">
        <v>103</v>
      </c>
      <c r="O754" t="s">
        <v>74</v>
      </c>
      <c r="P754" t="s">
        <v>74</v>
      </c>
      <c r="Q754" t="s">
        <v>74</v>
      </c>
      <c r="R754" t="s">
        <v>74</v>
      </c>
      <c r="S754" t="s">
        <v>74</v>
      </c>
      <c r="T754" t="s">
        <v>74</v>
      </c>
      <c r="U754" t="s">
        <v>10106</v>
      </c>
      <c r="V754" t="s">
        <v>10107</v>
      </c>
      <c r="W754" t="s">
        <v>10108</v>
      </c>
      <c r="X754" t="s">
        <v>10109</v>
      </c>
      <c r="Y754" t="s">
        <v>10110</v>
      </c>
      <c r="Z754" t="s">
        <v>10111</v>
      </c>
      <c r="AA754" t="s">
        <v>10112</v>
      </c>
      <c r="AB754" t="s">
        <v>10113</v>
      </c>
      <c r="AC754" t="s">
        <v>74</v>
      </c>
      <c r="AD754" t="s">
        <v>74</v>
      </c>
      <c r="AE754" t="s">
        <v>74</v>
      </c>
      <c r="AF754" t="s">
        <v>74</v>
      </c>
      <c r="AG754">
        <v>33</v>
      </c>
      <c r="AH754">
        <v>116</v>
      </c>
      <c r="AI754">
        <v>127</v>
      </c>
      <c r="AJ754">
        <v>1</v>
      </c>
      <c r="AK754">
        <v>36</v>
      </c>
      <c r="AL754" t="s">
        <v>9123</v>
      </c>
      <c r="AM754" t="s">
        <v>1121</v>
      </c>
      <c r="AN754" t="s">
        <v>9124</v>
      </c>
      <c r="AO754" t="s">
        <v>6733</v>
      </c>
      <c r="AP754" t="s">
        <v>9125</v>
      </c>
      <c r="AQ754" t="s">
        <v>74</v>
      </c>
      <c r="AR754" t="s">
        <v>6726</v>
      </c>
      <c r="AS754" t="s">
        <v>6734</v>
      </c>
      <c r="AT754" t="s">
        <v>10114</v>
      </c>
      <c r="AU754">
        <v>1998</v>
      </c>
      <c r="AV754">
        <v>393</v>
      </c>
      <c r="AW754">
        <v>6684</v>
      </c>
      <c r="AX754" t="s">
        <v>74</v>
      </c>
      <c r="AY754" t="s">
        <v>74</v>
      </c>
      <c r="AZ754" t="s">
        <v>74</v>
      </c>
      <c r="BA754" t="s">
        <v>74</v>
      </c>
      <c r="BB754">
        <v>455</v>
      </c>
      <c r="BC754">
        <v>458</v>
      </c>
      <c r="BD754" t="s">
        <v>74</v>
      </c>
      <c r="BE754" t="s">
        <v>10115</v>
      </c>
      <c r="BF754" t="str">
        <f>HYPERLINK("http://dx.doi.org/10.1038/30948","http://dx.doi.org/10.1038/30948")</f>
        <v>http://dx.doi.org/10.1038/30948</v>
      </c>
      <c r="BG754" t="s">
        <v>74</v>
      </c>
      <c r="BH754" t="s">
        <v>74</v>
      </c>
      <c r="BI754">
        <v>4</v>
      </c>
      <c r="BJ754" t="s">
        <v>3377</v>
      </c>
      <c r="BK754" t="s">
        <v>95</v>
      </c>
      <c r="BL754" t="s">
        <v>3378</v>
      </c>
      <c r="BM754" t="s">
        <v>10116</v>
      </c>
      <c r="BN754" t="s">
        <v>74</v>
      </c>
      <c r="BO754" t="s">
        <v>74</v>
      </c>
      <c r="BP754" t="s">
        <v>74</v>
      </c>
      <c r="BQ754" t="s">
        <v>74</v>
      </c>
      <c r="BR754" t="s">
        <v>98</v>
      </c>
      <c r="BS754" t="s">
        <v>10117</v>
      </c>
      <c r="BT754" t="str">
        <f>HYPERLINK("https%3A%2F%2Fwww.webofscience.com%2Fwos%2Fwoscc%2Ffull-record%2FWOS:000074020000040","View Full Record in Web of Science")</f>
        <v>View Full Record in Web of Science</v>
      </c>
    </row>
    <row r="755" spans="1:72" x14ac:dyDescent="0.15">
      <c r="A755" t="s">
        <v>72</v>
      </c>
      <c r="B755" t="s">
        <v>10118</v>
      </c>
      <c r="C755" t="s">
        <v>74</v>
      </c>
      <c r="D755" t="s">
        <v>74</v>
      </c>
      <c r="E755" t="s">
        <v>74</v>
      </c>
      <c r="F755" t="s">
        <v>10118</v>
      </c>
      <c r="G755" t="s">
        <v>74</v>
      </c>
      <c r="H755" t="s">
        <v>74</v>
      </c>
      <c r="I755" t="s">
        <v>10119</v>
      </c>
      <c r="J755" t="s">
        <v>10120</v>
      </c>
      <c r="K755" t="s">
        <v>74</v>
      </c>
      <c r="L755" t="s">
        <v>74</v>
      </c>
      <c r="M755" t="s">
        <v>77</v>
      </c>
      <c r="N755" t="s">
        <v>103</v>
      </c>
      <c r="O755" t="s">
        <v>74</v>
      </c>
      <c r="P755" t="s">
        <v>74</v>
      </c>
      <c r="Q755" t="s">
        <v>74</v>
      </c>
      <c r="R755" t="s">
        <v>74</v>
      </c>
      <c r="S755" t="s">
        <v>74</v>
      </c>
      <c r="T755" t="s">
        <v>10121</v>
      </c>
      <c r="U755" t="s">
        <v>10122</v>
      </c>
      <c r="V755" t="s">
        <v>10123</v>
      </c>
      <c r="W755" t="s">
        <v>4004</v>
      </c>
      <c r="X755" t="s">
        <v>509</v>
      </c>
      <c r="Y755" t="s">
        <v>10124</v>
      </c>
      <c r="Z755" t="s">
        <v>74</v>
      </c>
      <c r="AA755" t="s">
        <v>10125</v>
      </c>
      <c r="AB755" t="s">
        <v>10126</v>
      </c>
      <c r="AC755" t="s">
        <v>74</v>
      </c>
      <c r="AD755" t="s">
        <v>74</v>
      </c>
      <c r="AE755" t="s">
        <v>74</v>
      </c>
      <c r="AF755" t="s">
        <v>74</v>
      </c>
      <c r="AG755">
        <v>52</v>
      </c>
      <c r="AH755">
        <v>32</v>
      </c>
      <c r="AI755">
        <v>35</v>
      </c>
      <c r="AJ755">
        <v>0</v>
      </c>
      <c r="AK755">
        <v>8</v>
      </c>
      <c r="AL755" t="s">
        <v>10127</v>
      </c>
      <c r="AM755" t="s">
        <v>1740</v>
      </c>
      <c r="AN755" t="s">
        <v>3928</v>
      </c>
      <c r="AO755" t="s">
        <v>10128</v>
      </c>
      <c r="AP755" t="s">
        <v>74</v>
      </c>
      <c r="AQ755" t="s">
        <v>74</v>
      </c>
      <c r="AR755" t="s">
        <v>10129</v>
      </c>
      <c r="AS755" t="s">
        <v>10130</v>
      </c>
      <c r="AT755" t="s">
        <v>10131</v>
      </c>
      <c r="AU755">
        <v>1998</v>
      </c>
      <c r="AV755">
        <v>274</v>
      </c>
      <c r="AW755">
        <v>6</v>
      </c>
      <c r="AX755" t="s">
        <v>74</v>
      </c>
      <c r="AY755" t="s">
        <v>74</v>
      </c>
      <c r="AZ755" t="s">
        <v>74</v>
      </c>
      <c r="BA755" t="s">
        <v>74</v>
      </c>
      <c r="BB755" t="s">
        <v>10132</v>
      </c>
      <c r="BC755" t="s">
        <v>10133</v>
      </c>
      <c r="BD755" t="s">
        <v>74</v>
      </c>
      <c r="BE755" t="s">
        <v>10134</v>
      </c>
      <c r="BF755" t="str">
        <f>HYPERLINK("http://dx.doi.org/10.1152/ajpregu.1998.274.6.R1789","http://dx.doi.org/10.1152/ajpregu.1998.274.6.R1789")</f>
        <v>http://dx.doi.org/10.1152/ajpregu.1998.274.6.R1789</v>
      </c>
      <c r="BG755" t="s">
        <v>74</v>
      </c>
      <c r="BH755" t="s">
        <v>74</v>
      </c>
      <c r="BI755">
        <v>8</v>
      </c>
      <c r="BJ755" t="s">
        <v>10135</v>
      </c>
      <c r="BK755" t="s">
        <v>95</v>
      </c>
      <c r="BL755" t="s">
        <v>10135</v>
      </c>
      <c r="BM755" t="s">
        <v>10136</v>
      </c>
      <c r="BN755" t="s">
        <v>74</v>
      </c>
      <c r="BO755" t="s">
        <v>74</v>
      </c>
      <c r="BP755" t="s">
        <v>74</v>
      </c>
      <c r="BQ755" t="s">
        <v>74</v>
      </c>
      <c r="BR755" t="s">
        <v>98</v>
      </c>
      <c r="BS755" t="s">
        <v>10137</v>
      </c>
      <c r="BT755" t="str">
        <f>HYPERLINK("https%3A%2F%2Fwww.webofscience.com%2Fwos%2Fwoscc%2Ffull-record%2FWOS:000073907700034","View Full Record in Web of Science")</f>
        <v>View Full Record in Web of Science</v>
      </c>
    </row>
    <row r="756" spans="1:72" x14ac:dyDescent="0.15">
      <c r="A756" t="s">
        <v>72</v>
      </c>
      <c r="B756" t="s">
        <v>10138</v>
      </c>
      <c r="C756" t="s">
        <v>74</v>
      </c>
      <c r="D756" t="s">
        <v>74</v>
      </c>
      <c r="E756" t="s">
        <v>74</v>
      </c>
      <c r="F756" t="s">
        <v>10138</v>
      </c>
      <c r="G756" t="s">
        <v>74</v>
      </c>
      <c r="H756" t="s">
        <v>74</v>
      </c>
      <c r="I756" t="s">
        <v>10139</v>
      </c>
      <c r="J756" t="s">
        <v>5050</v>
      </c>
      <c r="K756" t="s">
        <v>74</v>
      </c>
      <c r="L756" t="s">
        <v>74</v>
      </c>
      <c r="M756" t="s">
        <v>77</v>
      </c>
      <c r="N756" t="s">
        <v>103</v>
      </c>
      <c r="O756" t="s">
        <v>74</v>
      </c>
      <c r="P756" t="s">
        <v>74</v>
      </c>
      <c r="Q756" t="s">
        <v>74</v>
      </c>
      <c r="R756" t="s">
        <v>74</v>
      </c>
      <c r="S756" t="s">
        <v>74</v>
      </c>
      <c r="T756" t="s">
        <v>10140</v>
      </c>
      <c r="U756" t="s">
        <v>10141</v>
      </c>
      <c r="V756" t="s">
        <v>10142</v>
      </c>
      <c r="W756" t="s">
        <v>10143</v>
      </c>
      <c r="X756" t="s">
        <v>10144</v>
      </c>
      <c r="Y756" t="s">
        <v>10145</v>
      </c>
      <c r="Z756" t="s">
        <v>74</v>
      </c>
      <c r="AA756" t="s">
        <v>74</v>
      </c>
      <c r="AB756" t="s">
        <v>74</v>
      </c>
      <c r="AC756" t="s">
        <v>74</v>
      </c>
      <c r="AD756" t="s">
        <v>74</v>
      </c>
      <c r="AE756" t="s">
        <v>74</v>
      </c>
      <c r="AF756" t="s">
        <v>74</v>
      </c>
      <c r="AG756">
        <v>13</v>
      </c>
      <c r="AH756">
        <v>4</v>
      </c>
      <c r="AI756">
        <v>4</v>
      </c>
      <c r="AJ756">
        <v>0</v>
      </c>
      <c r="AK756">
        <v>0</v>
      </c>
      <c r="AL756" t="s">
        <v>5057</v>
      </c>
      <c r="AM756" t="s">
        <v>5058</v>
      </c>
      <c r="AN756" t="s">
        <v>5059</v>
      </c>
      <c r="AO756" t="s">
        <v>5060</v>
      </c>
      <c r="AP756" t="s">
        <v>74</v>
      </c>
      <c r="AQ756" t="s">
        <v>74</v>
      </c>
      <c r="AR756" t="s">
        <v>5061</v>
      </c>
      <c r="AS756" t="s">
        <v>5062</v>
      </c>
      <c r="AT756" t="s">
        <v>10131</v>
      </c>
      <c r="AU756">
        <v>1998</v>
      </c>
      <c r="AV756">
        <v>41</v>
      </c>
      <c r="AW756">
        <v>2</v>
      </c>
      <c r="AX756" t="s">
        <v>74</v>
      </c>
      <c r="AY756" t="s">
        <v>74</v>
      </c>
      <c r="AZ756" t="s">
        <v>74</v>
      </c>
      <c r="BA756" t="s">
        <v>74</v>
      </c>
      <c r="BB756">
        <v>141</v>
      </c>
      <c r="BC756">
        <v>149</v>
      </c>
      <c r="BD756" t="s">
        <v>74</v>
      </c>
      <c r="BE756" t="s">
        <v>74</v>
      </c>
      <c r="BF756" t="s">
        <v>74</v>
      </c>
      <c r="BG756" t="s">
        <v>74</v>
      </c>
      <c r="BH756" t="s">
        <v>74</v>
      </c>
      <c r="BI756">
        <v>9</v>
      </c>
      <c r="BJ756" t="s">
        <v>303</v>
      </c>
      <c r="BK756" t="s">
        <v>95</v>
      </c>
      <c r="BL756" t="s">
        <v>303</v>
      </c>
      <c r="BM756" t="s">
        <v>10146</v>
      </c>
      <c r="BN756" t="s">
        <v>74</v>
      </c>
      <c r="BO756" t="s">
        <v>74</v>
      </c>
      <c r="BP756" t="s">
        <v>74</v>
      </c>
      <c r="BQ756" t="s">
        <v>74</v>
      </c>
      <c r="BR756" t="s">
        <v>98</v>
      </c>
      <c r="BS756" t="s">
        <v>10147</v>
      </c>
      <c r="BT756" t="str">
        <f>HYPERLINK("https%3A%2F%2Fwww.webofscience.com%2Fwos%2Fwoscc%2Ffull-record%2FWOS:000079055100002","View Full Record in Web of Science")</f>
        <v>View Full Record in Web of Science</v>
      </c>
    </row>
    <row r="757" spans="1:72" x14ac:dyDescent="0.15">
      <c r="A757" t="s">
        <v>72</v>
      </c>
      <c r="B757" t="s">
        <v>3953</v>
      </c>
      <c r="C757" t="s">
        <v>74</v>
      </c>
      <c r="D757" t="s">
        <v>74</v>
      </c>
      <c r="E757" t="s">
        <v>74</v>
      </c>
      <c r="F757" t="s">
        <v>3953</v>
      </c>
      <c r="G757" t="s">
        <v>74</v>
      </c>
      <c r="H757" t="s">
        <v>74</v>
      </c>
      <c r="I757" t="s">
        <v>10148</v>
      </c>
      <c r="J757" t="s">
        <v>3955</v>
      </c>
      <c r="K757" t="s">
        <v>74</v>
      </c>
      <c r="L757" t="s">
        <v>74</v>
      </c>
      <c r="M757" t="s">
        <v>77</v>
      </c>
      <c r="N757" t="s">
        <v>2667</v>
      </c>
      <c r="O757" t="s">
        <v>74</v>
      </c>
      <c r="P757" t="s">
        <v>74</v>
      </c>
      <c r="Q757" t="s">
        <v>74</v>
      </c>
      <c r="R757" t="s">
        <v>74</v>
      </c>
      <c r="S757" t="s">
        <v>74</v>
      </c>
      <c r="T757" t="s">
        <v>74</v>
      </c>
      <c r="U757" t="s">
        <v>74</v>
      </c>
      <c r="V757" t="s">
        <v>74</v>
      </c>
      <c r="W757" t="s">
        <v>74</v>
      </c>
      <c r="X757" t="s">
        <v>74</v>
      </c>
      <c r="Y757" t="s">
        <v>74</v>
      </c>
      <c r="Z757" t="s">
        <v>74</v>
      </c>
      <c r="AA757" t="s">
        <v>74</v>
      </c>
      <c r="AB757" t="s">
        <v>10149</v>
      </c>
      <c r="AC757" t="s">
        <v>74</v>
      </c>
      <c r="AD757" t="s">
        <v>74</v>
      </c>
      <c r="AE757" t="s">
        <v>74</v>
      </c>
      <c r="AF757" t="s">
        <v>74</v>
      </c>
      <c r="AG757">
        <v>0</v>
      </c>
      <c r="AH757">
        <v>0</v>
      </c>
      <c r="AI757">
        <v>0</v>
      </c>
      <c r="AJ757">
        <v>0</v>
      </c>
      <c r="AK757">
        <v>0</v>
      </c>
      <c r="AL757" t="s">
        <v>1716</v>
      </c>
      <c r="AM757" t="s">
        <v>229</v>
      </c>
      <c r="AN757" t="s">
        <v>1717</v>
      </c>
      <c r="AO757" t="s">
        <v>3956</v>
      </c>
      <c r="AP757" t="s">
        <v>74</v>
      </c>
      <c r="AQ757" t="s">
        <v>74</v>
      </c>
      <c r="AR757" t="s">
        <v>3957</v>
      </c>
      <c r="AS757" t="s">
        <v>3958</v>
      </c>
      <c r="AT757" t="s">
        <v>10131</v>
      </c>
      <c r="AU757">
        <v>1998</v>
      </c>
      <c r="AV757">
        <v>10</v>
      </c>
      <c r="AW757">
        <v>2</v>
      </c>
      <c r="AX757" t="s">
        <v>74</v>
      </c>
      <c r="AY757" t="s">
        <v>74</v>
      </c>
      <c r="AZ757" t="s">
        <v>74</v>
      </c>
      <c r="BA757" t="s">
        <v>74</v>
      </c>
      <c r="BB757">
        <v>109</v>
      </c>
      <c r="BC757">
        <v>109</v>
      </c>
      <c r="BD757" t="s">
        <v>74</v>
      </c>
      <c r="BE757" t="s">
        <v>10150</v>
      </c>
      <c r="BF757" t="str">
        <f>HYPERLINK("http://dx.doi.org/10.1017/S0954102098000157","http://dx.doi.org/10.1017/S0954102098000157")</f>
        <v>http://dx.doi.org/10.1017/S0954102098000157</v>
      </c>
      <c r="BG757" t="s">
        <v>74</v>
      </c>
      <c r="BH757" t="s">
        <v>74</v>
      </c>
      <c r="BI757">
        <v>1</v>
      </c>
      <c r="BJ757" t="s">
        <v>3960</v>
      </c>
      <c r="BK757" t="s">
        <v>95</v>
      </c>
      <c r="BL757" t="s">
        <v>3961</v>
      </c>
      <c r="BM757" t="s">
        <v>10151</v>
      </c>
      <c r="BN757" t="s">
        <v>74</v>
      </c>
      <c r="BO757" t="s">
        <v>1089</v>
      </c>
      <c r="BP757" t="s">
        <v>74</v>
      </c>
      <c r="BQ757" t="s">
        <v>74</v>
      </c>
      <c r="BR757" t="s">
        <v>98</v>
      </c>
      <c r="BS757" t="s">
        <v>10152</v>
      </c>
      <c r="BT757" t="str">
        <f>HYPERLINK("https%3A%2F%2Fwww.webofscience.com%2Fwos%2Fwoscc%2Ffull-record%2FWOS:000074231400001","View Full Record in Web of Science")</f>
        <v>View Full Record in Web of Science</v>
      </c>
    </row>
    <row r="758" spans="1:72" x14ac:dyDescent="0.15">
      <c r="A758" t="s">
        <v>72</v>
      </c>
      <c r="B758" t="s">
        <v>10153</v>
      </c>
      <c r="C758" t="s">
        <v>74</v>
      </c>
      <c r="D758" t="s">
        <v>74</v>
      </c>
      <c r="E758" t="s">
        <v>74</v>
      </c>
      <c r="F758" t="s">
        <v>10153</v>
      </c>
      <c r="G758" t="s">
        <v>74</v>
      </c>
      <c r="H758" t="s">
        <v>74</v>
      </c>
      <c r="I758" t="s">
        <v>10154</v>
      </c>
      <c r="J758" t="s">
        <v>3955</v>
      </c>
      <c r="K758" t="s">
        <v>74</v>
      </c>
      <c r="L758" t="s">
        <v>74</v>
      </c>
      <c r="M758" t="s">
        <v>77</v>
      </c>
      <c r="N758" t="s">
        <v>103</v>
      </c>
      <c r="O758" t="s">
        <v>74</v>
      </c>
      <c r="P758" t="s">
        <v>74</v>
      </c>
      <c r="Q758" t="s">
        <v>74</v>
      </c>
      <c r="R758" t="s">
        <v>74</v>
      </c>
      <c r="S758" t="s">
        <v>74</v>
      </c>
      <c r="T758" t="s">
        <v>10155</v>
      </c>
      <c r="U758" t="s">
        <v>10156</v>
      </c>
      <c r="V758" t="s">
        <v>10157</v>
      </c>
      <c r="W758" t="s">
        <v>10158</v>
      </c>
      <c r="X758" t="s">
        <v>10159</v>
      </c>
      <c r="Y758" t="s">
        <v>10160</v>
      </c>
      <c r="Z758" t="s">
        <v>10161</v>
      </c>
      <c r="AA758" t="s">
        <v>74</v>
      </c>
      <c r="AB758" t="s">
        <v>74</v>
      </c>
      <c r="AC758" t="s">
        <v>74</v>
      </c>
      <c r="AD758" t="s">
        <v>74</v>
      </c>
      <c r="AE758" t="s">
        <v>74</v>
      </c>
      <c r="AF758" t="s">
        <v>74</v>
      </c>
      <c r="AG758">
        <v>58</v>
      </c>
      <c r="AH758">
        <v>40</v>
      </c>
      <c r="AI758">
        <v>49</v>
      </c>
      <c r="AJ758">
        <v>1</v>
      </c>
      <c r="AK758">
        <v>20</v>
      </c>
      <c r="AL758" t="s">
        <v>948</v>
      </c>
      <c r="AM758" t="s">
        <v>278</v>
      </c>
      <c r="AN758" t="s">
        <v>3974</v>
      </c>
      <c r="AO758" t="s">
        <v>3956</v>
      </c>
      <c r="AP758" t="s">
        <v>3975</v>
      </c>
      <c r="AQ758" t="s">
        <v>74</v>
      </c>
      <c r="AR758" t="s">
        <v>3957</v>
      </c>
      <c r="AS758" t="s">
        <v>3958</v>
      </c>
      <c r="AT758" t="s">
        <v>10131</v>
      </c>
      <c r="AU758">
        <v>1998</v>
      </c>
      <c r="AV758">
        <v>10</v>
      </c>
      <c r="AW758">
        <v>2</v>
      </c>
      <c r="AX758" t="s">
        <v>74</v>
      </c>
      <c r="AY758" t="s">
        <v>74</v>
      </c>
      <c r="AZ758" t="s">
        <v>74</v>
      </c>
      <c r="BA758" t="s">
        <v>74</v>
      </c>
      <c r="BB758">
        <v>111</v>
      </c>
      <c r="BC758">
        <v>123</v>
      </c>
      <c r="BD758" t="s">
        <v>74</v>
      </c>
      <c r="BE758" t="s">
        <v>10162</v>
      </c>
      <c r="BF758" t="str">
        <f>HYPERLINK("http://dx.doi.org/10.1017/S0954102098000169","http://dx.doi.org/10.1017/S0954102098000169")</f>
        <v>http://dx.doi.org/10.1017/S0954102098000169</v>
      </c>
      <c r="BG758" t="s">
        <v>74</v>
      </c>
      <c r="BH758" t="s">
        <v>74</v>
      </c>
      <c r="BI758">
        <v>13</v>
      </c>
      <c r="BJ758" t="s">
        <v>3960</v>
      </c>
      <c r="BK758" t="s">
        <v>95</v>
      </c>
      <c r="BL758" t="s">
        <v>3961</v>
      </c>
      <c r="BM758" t="s">
        <v>10151</v>
      </c>
      <c r="BN758" t="s">
        <v>74</v>
      </c>
      <c r="BO758" t="s">
        <v>74</v>
      </c>
      <c r="BP758" t="s">
        <v>74</v>
      </c>
      <c r="BQ758" t="s">
        <v>74</v>
      </c>
      <c r="BR758" t="s">
        <v>98</v>
      </c>
      <c r="BS758" t="s">
        <v>10163</v>
      </c>
      <c r="BT758" t="str">
        <f>HYPERLINK("https%3A%2F%2Fwww.webofscience.com%2Fwos%2Fwoscc%2Ffull-record%2FWOS:000074231400002","View Full Record in Web of Science")</f>
        <v>View Full Record in Web of Science</v>
      </c>
    </row>
    <row r="759" spans="1:72" x14ac:dyDescent="0.15">
      <c r="A759" t="s">
        <v>72</v>
      </c>
      <c r="B759" t="s">
        <v>10164</v>
      </c>
      <c r="C759" t="s">
        <v>74</v>
      </c>
      <c r="D759" t="s">
        <v>74</v>
      </c>
      <c r="E759" t="s">
        <v>74</v>
      </c>
      <c r="F759" t="s">
        <v>10164</v>
      </c>
      <c r="G759" t="s">
        <v>74</v>
      </c>
      <c r="H759" t="s">
        <v>74</v>
      </c>
      <c r="I759" t="s">
        <v>10165</v>
      </c>
      <c r="J759" t="s">
        <v>3955</v>
      </c>
      <c r="K759" t="s">
        <v>74</v>
      </c>
      <c r="L759" t="s">
        <v>74</v>
      </c>
      <c r="M759" t="s">
        <v>77</v>
      </c>
      <c r="N759" t="s">
        <v>103</v>
      </c>
      <c r="O759" t="s">
        <v>74</v>
      </c>
      <c r="P759" t="s">
        <v>74</v>
      </c>
      <c r="Q759" t="s">
        <v>74</v>
      </c>
      <c r="R759" t="s">
        <v>74</v>
      </c>
      <c r="S759" t="s">
        <v>74</v>
      </c>
      <c r="T759" t="s">
        <v>10166</v>
      </c>
      <c r="U759" t="s">
        <v>10167</v>
      </c>
      <c r="V759" t="s">
        <v>10168</v>
      </c>
      <c r="W759" t="s">
        <v>10169</v>
      </c>
      <c r="X759" t="s">
        <v>10170</v>
      </c>
      <c r="Y759" t="s">
        <v>10171</v>
      </c>
      <c r="Z759" t="s">
        <v>74</v>
      </c>
      <c r="AA759" t="s">
        <v>10172</v>
      </c>
      <c r="AB759" t="s">
        <v>10173</v>
      </c>
      <c r="AC759" t="s">
        <v>10174</v>
      </c>
      <c r="AD759" t="s">
        <v>276</v>
      </c>
      <c r="AE759" t="s">
        <v>74</v>
      </c>
      <c r="AF759" t="s">
        <v>74</v>
      </c>
      <c r="AG759">
        <v>27</v>
      </c>
      <c r="AH759">
        <v>24</v>
      </c>
      <c r="AI759">
        <v>25</v>
      </c>
      <c r="AJ759">
        <v>0</v>
      </c>
      <c r="AK759">
        <v>8</v>
      </c>
      <c r="AL759" t="s">
        <v>1716</v>
      </c>
      <c r="AM759" t="s">
        <v>229</v>
      </c>
      <c r="AN759" t="s">
        <v>1717</v>
      </c>
      <c r="AO759" t="s">
        <v>3956</v>
      </c>
      <c r="AP759" t="s">
        <v>74</v>
      </c>
      <c r="AQ759" t="s">
        <v>74</v>
      </c>
      <c r="AR759" t="s">
        <v>3957</v>
      </c>
      <c r="AS759" t="s">
        <v>3958</v>
      </c>
      <c r="AT759" t="s">
        <v>10131</v>
      </c>
      <c r="AU759">
        <v>1998</v>
      </c>
      <c r="AV759">
        <v>10</v>
      </c>
      <c r="AW759">
        <v>2</v>
      </c>
      <c r="AX759" t="s">
        <v>74</v>
      </c>
      <c r="AY759" t="s">
        <v>74</v>
      </c>
      <c r="AZ759" t="s">
        <v>74</v>
      </c>
      <c r="BA759" t="s">
        <v>74</v>
      </c>
      <c r="BB759">
        <v>124</v>
      </c>
      <c r="BC759">
        <v>133</v>
      </c>
      <c r="BD759" t="s">
        <v>74</v>
      </c>
      <c r="BE759" t="s">
        <v>10175</v>
      </c>
      <c r="BF759" t="str">
        <f>HYPERLINK("http://dx.doi.org/10.1017/S0954102098000170","http://dx.doi.org/10.1017/S0954102098000170")</f>
        <v>http://dx.doi.org/10.1017/S0954102098000170</v>
      </c>
      <c r="BG759" t="s">
        <v>74</v>
      </c>
      <c r="BH759" t="s">
        <v>74</v>
      </c>
      <c r="BI759">
        <v>10</v>
      </c>
      <c r="BJ759" t="s">
        <v>3960</v>
      </c>
      <c r="BK759" t="s">
        <v>95</v>
      </c>
      <c r="BL759" t="s">
        <v>3961</v>
      </c>
      <c r="BM759" t="s">
        <v>10151</v>
      </c>
      <c r="BN759">
        <v>11541288</v>
      </c>
      <c r="BO759" t="s">
        <v>74</v>
      </c>
      <c r="BP759" t="s">
        <v>74</v>
      </c>
      <c r="BQ759" t="s">
        <v>74</v>
      </c>
      <c r="BR759" t="s">
        <v>98</v>
      </c>
      <c r="BS759" t="s">
        <v>10176</v>
      </c>
      <c r="BT759" t="str">
        <f>HYPERLINK("https%3A%2F%2Fwww.webofscience.com%2Fwos%2Fwoscc%2Ffull-record%2FWOS:000074231400003","View Full Record in Web of Science")</f>
        <v>View Full Record in Web of Science</v>
      </c>
    </row>
    <row r="760" spans="1:72" x14ac:dyDescent="0.15">
      <c r="A760" t="s">
        <v>72</v>
      </c>
      <c r="B760" t="s">
        <v>10177</v>
      </c>
      <c r="C760" t="s">
        <v>74</v>
      </c>
      <c r="D760" t="s">
        <v>74</v>
      </c>
      <c r="E760" t="s">
        <v>74</v>
      </c>
      <c r="F760" t="s">
        <v>10177</v>
      </c>
      <c r="G760" t="s">
        <v>74</v>
      </c>
      <c r="H760" t="s">
        <v>74</v>
      </c>
      <c r="I760" t="s">
        <v>10178</v>
      </c>
      <c r="J760" t="s">
        <v>3955</v>
      </c>
      <c r="K760" t="s">
        <v>74</v>
      </c>
      <c r="L760" t="s">
        <v>74</v>
      </c>
      <c r="M760" t="s">
        <v>77</v>
      </c>
      <c r="N760" t="s">
        <v>103</v>
      </c>
      <c r="O760" t="s">
        <v>74</v>
      </c>
      <c r="P760" t="s">
        <v>74</v>
      </c>
      <c r="Q760" t="s">
        <v>74</v>
      </c>
      <c r="R760" t="s">
        <v>74</v>
      </c>
      <c r="S760" t="s">
        <v>74</v>
      </c>
      <c r="T760" t="s">
        <v>10179</v>
      </c>
      <c r="U760" t="s">
        <v>10180</v>
      </c>
      <c r="V760" t="s">
        <v>10181</v>
      </c>
      <c r="W760" t="s">
        <v>10182</v>
      </c>
      <c r="X760" t="s">
        <v>10183</v>
      </c>
      <c r="Y760" t="s">
        <v>10184</v>
      </c>
      <c r="Z760" t="s">
        <v>74</v>
      </c>
      <c r="AA760" t="s">
        <v>74</v>
      </c>
      <c r="AB760" t="s">
        <v>10185</v>
      </c>
      <c r="AC760" t="s">
        <v>74</v>
      </c>
      <c r="AD760" t="s">
        <v>74</v>
      </c>
      <c r="AE760" t="s">
        <v>74</v>
      </c>
      <c r="AF760" t="s">
        <v>74</v>
      </c>
      <c r="AG760">
        <v>78</v>
      </c>
      <c r="AH760">
        <v>95</v>
      </c>
      <c r="AI760">
        <v>107</v>
      </c>
      <c r="AJ760">
        <v>0</v>
      </c>
      <c r="AK760">
        <v>8</v>
      </c>
      <c r="AL760" t="s">
        <v>1716</v>
      </c>
      <c r="AM760" t="s">
        <v>229</v>
      </c>
      <c r="AN760" t="s">
        <v>1717</v>
      </c>
      <c r="AO760" t="s">
        <v>3956</v>
      </c>
      <c r="AP760" t="s">
        <v>74</v>
      </c>
      <c r="AQ760" t="s">
        <v>74</v>
      </c>
      <c r="AR760" t="s">
        <v>3957</v>
      </c>
      <c r="AS760" t="s">
        <v>3958</v>
      </c>
      <c r="AT760" t="s">
        <v>10131</v>
      </c>
      <c r="AU760">
        <v>1998</v>
      </c>
      <c r="AV760">
        <v>10</v>
      </c>
      <c r="AW760">
        <v>2</v>
      </c>
      <c r="AX760" t="s">
        <v>74</v>
      </c>
      <c r="AY760" t="s">
        <v>74</v>
      </c>
      <c r="AZ760" t="s">
        <v>74</v>
      </c>
      <c r="BA760" t="s">
        <v>74</v>
      </c>
      <c r="BB760">
        <v>134</v>
      </c>
      <c r="BC760">
        <v>146</v>
      </c>
      <c r="BD760" t="s">
        <v>74</v>
      </c>
      <c r="BE760" t="s">
        <v>10186</v>
      </c>
      <c r="BF760" t="str">
        <f>HYPERLINK("http://dx.doi.org/10.1017/S0954102098000182","http://dx.doi.org/10.1017/S0954102098000182")</f>
        <v>http://dx.doi.org/10.1017/S0954102098000182</v>
      </c>
      <c r="BG760" t="s">
        <v>74</v>
      </c>
      <c r="BH760" t="s">
        <v>74</v>
      </c>
      <c r="BI760">
        <v>13</v>
      </c>
      <c r="BJ760" t="s">
        <v>3960</v>
      </c>
      <c r="BK760" t="s">
        <v>95</v>
      </c>
      <c r="BL760" t="s">
        <v>3961</v>
      </c>
      <c r="BM760" t="s">
        <v>10151</v>
      </c>
      <c r="BN760" t="s">
        <v>74</v>
      </c>
      <c r="BO760" t="s">
        <v>74</v>
      </c>
      <c r="BP760" t="s">
        <v>74</v>
      </c>
      <c r="BQ760" t="s">
        <v>74</v>
      </c>
      <c r="BR760" t="s">
        <v>98</v>
      </c>
      <c r="BS760" t="s">
        <v>10187</v>
      </c>
      <c r="BT760" t="str">
        <f>HYPERLINK("https%3A%2F%2Fwww.webofscience.com%2Fwos%2Fwoscc%2Ffull-record%2FWOS:000074231400004","View Full Record in Web of Science")</f>
        <v>View Full Record in Web of Science</v>
      </c>
    </row>
    <row r="761" spans="1:72" x14ac:dyDescent="0.15">
      <c r="A761" t="s">
        <v>72</v>
      </c>
      <c r="B761" t="s">
        <v>10188</v>
      </c>
      <c r="C761" t="s">
        <v>74</v>
      </c>
      <c r="D761" t="s">
        <v>74</v>
      </c>
      <c r="E761" t="s">
        <v>74</v>
      </c>
      <c r="F761" t="s">
        <v>10188</v>
      </c>
      <c r="G761" t="s">
        <v>74</v>
      </c>
      <c r="H761" t="s">
        <v>74</v>
      </c>
      <c r="I761" t="s">
        <v>10189</v>
      </c>
      <c r="J761" t="s">
        <v>3955</v>
      </c>
      <c r="K761" t="s">
        <v>74</v>
      </c>
      <c r="L761" t="s">
        <v>74</v>
      </c>
      <c r="M761" t="s">
        <v>77</v>
      </c>
      <c r="N761" t="s">
        <v>103</v>
      </c>
      <c r="O761" t="s">
        <v>74</v>
      </c>
      <c r="P761" t="s">
        <v>74</v>
      </c>
      <c r="Q761" t="s">
        <v>74</v>
      </c>
      <c r="R761" t="s">
        <v>74</v>
      </c>
      <c r="S761" t="s">
        <v>74</v>
      </c>
      <c r="T761" t="s">
        <v>10190</v>
      </c>
      <c r="U761" t="s">
        <v>74</v>
      </c>
      <c r="V761" t="s">
        <v>10191</v>
      </c>
      <c r="W761" t="s">
        <v>10192</v>
      </c>
      <c r="X761" t="s">
        <v>10193</v>
      </c>
      <c r="Y761" t="s">
        <v>10194</v>
      </c>
      <c r="Z761" t="s">
        <v>74</v>
      </c>
      <c r="AA761" t="s">
        <v>74</v>
      </c>
      <c r="AB761" t="s">
        <v>10195</v>
      </c>
      <c r="AC761" t="s">
        <v>74</v>
      </c>
      <c r="AD761" t="s">
        <v>74</v>
      </c>
      <c r="AE761" t="s">
        <v>74</v>
      </c>
      <c r="AF761" t="s">
        <v>74</v>
      </c>
      <c r="AG761">
        <v>26</v>
      </c>
      <c r="AH761">
        <v>15</v>
      </c>
      <c r="AI761">
        <v>18</v>
      </c>
      <c r="AJ761">
        <v>0</v>
      </c>
      <c r="AK761">
        <v>5</v>
      </c>
      <c r="AL761" t="s">
        <v>1716</v>
      </c>
      <c r="AM761" t="s">
        <v>229</v>
      </c>
      <c r="AN761" t="s">
        <v>1717</v>
      </c>
      <c r="AO761" t="s">
        <v>3956</v>
      </c>
      <c r="AP761" t="s">
        <v>74</v>
      </c>
      <c r="AQ761" t="s">
        <v>74</v>
      </c>
      <c r="AR761" t="s">
        <v>3957</v>
      </c>
      <c r="AS761" t="s">
        <v>3958</v>
      </c>
      <c r="AT761" t="s">
        <v>10131</v>
      </c>
      <c r="AU761">
        <v>1998</v>
      </c>
      <c r="AV761">
        <v>10</v>
      </c>
      <c r="AW761">
        <v>2</v>
      </c>
      <c r="AX761" t="s">
        <v>74</v>
      </c>
      <c r="AY761" t="s">
        <v>74</v>
      </c>
      <c r="AZ761" t="s">
        <v>74</v>
      </c>
      <c r="BA761" t="s">
        <v>74</v>
      </c>
      <c r="BB761">
        <v>147</v>
      </c>
      <c r="BC761">
        <v>152</v>
      </c>
      <c r="BD761" t="s">
        <v>74</v>
      </c>
      <c r="BE761" t="s">
        <v>74</v>
      </c>
      <c r="BF761" t="s">
        <v>74</v>
      </c>
      <c r="BG761" t="s">
        <v>74</v>
      </c>
      <c r="BH761" t="s">
        <v>74</v>
      </c>
      <c r="BI761">
        <v>6</v>
      </c>
      <c r="BJ761" t="s">
        <v>3960</v>
      </c>
      <c r="BK761" t="s">
        <v>95</v>
      </c>
      <c r="BL761" t="s">
        <v>3961</v>
      </c>
      <c r="BM761" t="s">
        <v>10151</v>
      </c>
      <c r="BN761" t="s">
        <v>74</v>
      </c>
      <c r="BO761" t="s">
        <v>74</v>
      </c>
      <c r="BP761" t="s">
        <v>74</v>
      </c>
      <c r="BQ761" t="s">
        <v>74</v>
      </c>
      <c r="BR761" t="s">
        <v>98</v>
      </c>
      <c r="BS761" t="s">
        <v>10196</v>
      </c>
      <c r="BT761" t="str">
        <f>HYPERLINK("https%3A%2F%2Fwww.webofscience.com%2Fwos%2Fwoscc%2Ffull-record%2FWOS:000074231400005","View Full Record in Web of Science")</f>
        <v>View Full Record in Web of Science</v>
      </c>
    </row>
    <row r="762" spans="1:72" x14ac:dyDescent="0.15">
      <c r="A762" t="s">
        <v>72</v>
      </c>
      <c r="B762" t="s">
        <v>10197</v>
      </c>
      <c r="C762" t="s">
        <v>74</v>
      </c>
      <c r="D762" t="s">
        <v>74</v>
      </c>
      <c r="E762" t="s">
        <v>74</v>
      </c>
      <c r="F762" t="s">
        <v>10197</v>
      </c>
      <c r="G762" t="s">
        <v>74</v>
      </c>
      <c r="H762" t="s">
        <v>74</v>
      </c>
      <c r="I762" t="s">
        <v>10198</v>
      </c>
      <c r="J762" t="s">
        <v>3955</v>
      </c>
      <c r="K762" t="s">
        <v>74</v>
      </c>
      <c r="L762" t="s">
        <v>74</v>
      </c>
      <c r="M762" t="s">
        <v>77</v>
      </c>
      <c r="N762" t="s">
        <v>103</v>
      </c>
      <c r="O762" t="s">
        <v>74</v>
      </c>
      <c r="P762" t="s">
        <v>74</v>
      </c>
      <c r="Q762" t="s">
        <v>74</v>
      </c>
      <c r="R762" t="s">
        <v>74</v>
      </c>
      <c r="S762" t="s">
        <v>74</v>
      </c>
      <c r="T762" t="s">
        <v>10199</v>
      </c>
      <c r="U762" t="s">
        <v>10200</v>
      </c>
      <c r="V762" t="s">
        <v>10201</v>
      </c>
      <c r="W762" t="s">
        <v>10202</v>
      </c>
      <c r="X762" t="s">
        <v>4658</v>
      </c>
      <c r="Y762" t="s">
        <v>10203</v>
      </c>
      <c r="Z762" t="s">
        <v>74</v>
      </c>
      <c r="AA762" t="s">
        <v>74</v>
      </c>
      <c r="AB762" t="s">
        <v>74</v>
      </c>
      <c r="AC762" t="s">
        <v>74</v>
      </c>
      <c r="AD762" t="s">
        <v>74</v>
      </c>
      <c r="AE762" t="s">
        <v>74</v>
      </c>
      <c r="AF762" t="s">
        <v>74</v>
      </c>
      <c r="AG762">
        <v>38</v>
      </c>
      <c r="AH762">
        <v>47</v>
      </c>
      <c r="AI762">
        <v>49</v>
      </c>
      <c r="AJ762">
        <v>0</v>
      </c>
      <c r="AK762">
        <v>6</v>
      </c>
      <c r="AL762" t="s">
        <v>1716</v>
      </c>
      <c r="AM762" t="s">
        <v>229</v>
      </c>
      <c r="AN762" t="s">
        <v>1717</v>
      </c>
      <c r="AO762" t="s">
        <v>3956</v>
      </c>
      <c r="AP762" t="s">
        <v>74</v>
      </c>
      <c r="AQ762" t="s">
        <v>74</v>
      </c>
      <c r="AR762" t="s">
        <v>3957</v>
      </c>
      <c r="AS762" t="s">
        <v>3958</v>
      </c>
      <c r="AT762" t="s">
        <v>10131</v>
      </c>
      <c r="AU762">
        <v>1998</v>
      </c>
      <c r="AV762">
        <v>10</v>
      </c>
      <c r="AW762">
        <v>2</v>
      </c>
      <c r="AX762" t="s">
        <v>74</v>
      </c>
      <c r="AY762" t="s">
        <v>74</v>
      </c>
      <c r="AZ762" t="s">
        <v>74</v>
      </c>
      <c r="BA762" t="s">
        <v>74</v>
      </c>
      <c r="BB762">
        <v>153</v>
      </c>
      <c r="BC762">
        <v>160</v>
      </c>
      <c r="BD762" t="s">
        <v>74</v>
      </c>
      <c r="BE762" t="s">
        <v>10204</v>
      </c>
      <c r="BF762" t="str">
        <f>HYPERLINK("http://dx.doi.org/10.1017/S0954102098000200","http://dx.doi.org/10.1017/S0954102098000200")</f>
        <v>http://dx.doi.org/10.1017/S0954102098000200</v>
      </c>
      <c r="BG762" t="s">
        <v>74</v>
      </c>
      <c r="BH762" t="s">
        <v>74</v>
      </c>
      <c r="BI762">
        <v>8</v>
      </c>
      <c r="BJ762" t="s">
        <v>3960</v>
      </c>
      <c r="BK762" t="s">
        <v>95</v>
      </c>
      <c r="BL762" t="s">
        <v>3961</v>
      </c>
      <c r="BM762" t="s">
        <v>10151</v>
      </c>
      <c r="BN762" t="s">
        <v>74</v>
      </c>
      <c r="BO762" t="s">
        <v>74</v>
      </c>
      <c r="BP762" t="s">
        <v>74</v>
      </c>
      <c r="BQ762" t="s">
        <v>74</v>
      </c>
      <c r="BR762" t="s">
        <v>98</v>
      </c>
      <c r="BS762" t="s">
        <v>10205</v>
      </c>
      <c r="BT762" t="str">
        <f>HYPERLINK("https%3A%2F%2Fwww.webofscience.com%2Fwos%2Fwoscc%2Ffull-record%2FWOS:000074231400006","View Full Record in Web of Science")</f>
        <v>View Full Record in Web of Science</v>
      </c>
    </row>
    <row r="763" spans="1:72" x14ac:dyDescent="0.15">
      <c r="A763" t="s">
        <v>72</v>
      </c>
      <c r="B763" t="s">
        <v>10206</v>
      </c>
      <c r="C763" t="s">
        <v>74</v>
      </c>
      <c r="D763" t="s">
        <v>74</v>
      </c>
      <c r="E763" t="s">
        <v>74</v>
      </c>
      <c r="F763" t="s">
        <v>10206</v>
      </c>
      <c r="G763" t="s">
        <v>74</v>
      </c>
      <c r="H763" t="s">
        <v>74</v>
      </c>
      <c r="I763" t="s">
        <v>10207</v>
      </c>
      <c r="J763" t="s">
        <v>3955</v>
      </c>
      <c r="K763" t="s">
        <v>74</v>
      </c>
      <c r="L763" t="s">
        <v>74</v>
      </c>
      <c r="M763" t="s">
        <v>77</v>
      </c>
      <c r="N763" t="s">
        <v>103</v>
      </c>
      <c r="O763" t="s">
        <v>74</v>
      </c>
      <c r="P763" t="s">
        <v>74</v>
      </c>
      <c r="Q763" t="s">
        <v>74</v>
      </c>
      <c r="R763" t="s">
        <v>74</v>
      </c>
      <c r="S763" t="s">
        <v>74</v>
      </c>
      <c r="T763" t="s">
        <v>10208</v>
      </c>
      <c r="U763" t="s">
        <v>10209</v>
      </c>
      <c r="V763" t="s">
        <v>10210</v>
      </c>
      <c r="W763" t="s">
        <v>944</v>
      </c>
      <c r="X763" t="s">
        <v>628</v>
      </c>
      <c r="Y763" t="s">
        <v>10211</v>
      </c>
      <c r="Z763" t="s">
        <v>74</v>
      </c>
      <c r="AA763" t="s">
        <v>74</v>
      </c>
      <c r="AB763" t="s">
        <v>74</v>
      </c>
      <c r="AC763" t="s">
        <v>74</v>
      </c>
      <c r="AD763" t="s">
        <v>74</v>
      </c>
      <c r="AE763" t="s">
        <v>74</v>
      </c>
      <c r="AF763" t="s">
        <v>74</v>
      </c>
      <c r="AG763">
        <v>56</v>
      </c>
      <c r="AH763">
        <v>33</v>
      </c>
      <c r="AI763">
        <v>34</v>
      </c>
      <c r="AJ763">
        <v>0</v>
      </c>
      <c r="AK763">
        <v>2</v>
      </c>
      <c r="AL763" t="s">
        <v>1716</v>
      </c>
      <c r="AM763" t="s">
        <v>229</v>
      </c>
      <c r="AN763" t="s">
        <v>1717</v>
      </c>
      <c r="AO763" t="s">
        <v>3956</v>
      </c>
      <c r="AP763" t="s">
        <v>74</v>
      </c>
      <c r="AQ763" t="s">
        <v>74</v>
      </c>
      <c r="AR763" t="s">
        <v>3957</v>
      </c>
      <c r="AS763" t="s">
        <v>3958</v>
      </c>
      <c r="AT763" t="s">
        <v>10131</v>
      </c>
      <c r="AU763">
        <v>1998</v>
      </c>
      <c r="AV763">
        <v>10</v>
      </c>
      <c r="AW763">
        <v>2</v>
      </c>
      <c r="AX763" t="s">
        <v>74</v>
      </c>
      <c r="AY763" t="s">
        <v>74</v>
      </c>
      <c r="AZ763" t="s">
        <v>74</v>
      </c>
      <c r="BA763" t="s">
        <v>74</v>
      </c>
      <c r="BB763">
        <v>161</v>
      </c>
      <c r="BC763">
        <v>170</v>
      </c>
      <c r="BD763" t="s">
        <v>74</v>
      </c>
      <c r="BE763" t="s">
        <v>10212</v>
      </c>
      <c r="BF763" t="str">
        <f>HYPERLINK("http://dx.doi.org/10.1017/S0954102098000212","http://dx.doi.org/10.1017/S0954102098000212")</f>
        <v>http://dx.doi.org/10.1017/S0954102098000212</v>
      </c>
      <c r="BG763" t="s">
        <v>74</v>
      </c>
      <c r="BH763" t="s">
        <v>74</v>
      </c>
      <c r="BI763">
        <v>10</v>
      </c>
      <c r="BJ763" t="s">
        <v>3960</v>
      </c>
      <c r="BK763" t="s">
        <v>95</v>
      </c>
      <c r="BL763" t="s">
        <v>3961</v>
      </c>
      <c r="BM763" t="s">
        <v>10151</v>
      </c>
      <c r="BN763" t="s">
        <v>74</v>
      </c>
      <c r="BO763" t="s">
        <v>74</v>
      </c>
      <c r="BP763" t="s">
        <v>74</v>
      </c>
      <c r="BQ763" t="s">
        <v>74</v>
      </c>
      <c r="BR763" t="s">
        <v>98</v>
      </c>
      <c r="BS763" t="s">
        <v>10213</v>
      </c>
      <c r="BT763" t="str">
        <f>HYPERLINK("https%3A%2F%2Fwww.webofscience.com%2Fwos%2Fwoscc%2Ffull-record%2FWOS:000074231400007","View Full Record in Web of Science")</f>
        <v>View Full Record in Web of Science</v>
      </c>
    </row>
    <row r="764" spans="1:72" x14ac:dyDescent="0.15">
      <c r="A764" t="s">
        <v>72</v>
      </c>
      <c r="B764" t="s">
        <v>10214</v>
      </c>
      <c r="C764" t="s">
        <v>74</v>
      </c>
      <c r="D764" t="s">
        <v>74</v>
      </c>
      <c r="E764" t="s">
        <v>74</v>
      </c>
      <c r="F764" t="s">
        <v>10214</v>
      </c>
      <c r="G764" t="s">
        <v>74</v>
      </c>
      <c r="H764" t="s">
        <v>74</v>
      </c>
      <c r="I764" t="s">
        <v>10215</v>
      </c>
      <c r="J764" t="s">
        <v>3955</v>
      </c>
      <c r="K764" t="s">
        <v>74</v>
      </c>
      <c r="L764" t="s">
        <v>74</v>
      </c>
      <c r="M764" t="s">
        <v>77</v>
      </c>
      <c r="N764" t="s">
        <v>103</v>
      </c>
      <c r="O764" t="s">
        <v>74</v>
      </c>
      <c r="P764" t="s">
        <v>74</v>
      </c>
      <c r="Q764" t="s">
        <v>74</v>
      </c>
      <c r="R764" t="s">
        <v>74</v>
      </c>
      <c r="S764" t="s">
        <v>74</v>
      </c>
      <c r="T764" t="s">
        <v>74</v>
      </c>
      <c r="U764" t="s">
        <v>74</v>
      </c>
      <c r="V764" t="s">
        <v>74</v>
      </c>
      <c r="W764" t="s">
        <v>10216</v>
      </c>
      <c r="X764" t="s">
        <v>628</v>
      </c>
      <c r="Y764" t="s">
        <v>10217</v>
      </c>
      <c r="Z764" t="s">
        <v>74</v>
      </c>
      <c r="AA764" t="s">
        <v>74</v>
      </c>
      <c r="AB764" t="s">
        <v>74</v>
      </c>
      <c r="AC764" t="s">
        <v>74</v>
      </c>
      <c r="AD764" t="s">
        <v>74</v>
      </c>
      <c r="AE764" t="s">
        <v>74</v>
      </c>
      <c r="AF764" t="s">
        <v>74</v>
      </c>
      <c r="AG764">
        <v>3</v>
      </c>
      <c r="AH764">
        <v>13</v>
      </c>
      <c r="AI764">
        <v>13</v>
      </c>
      <c r="AJ764">
        <v>0</v>
      </c>
      <c r="AK764">
        <v>1</v>
      </c>
      <c r="AL764" t="s">
        <v>1716</v>
      </c>
      <c r="AM764" t="s">
        <v>229</v>
      </c>
      <c r="AN764" t="s">
        <v>1717</v>
      </c>
      <c r="AO764" t="s">
        <v>3956</v>
      </c>
      <c r="AP764" t="s">
        <v>74</v>
      </c>
      <c r="AQ764" t="s">
        <v>74</v>
      </c>
      <c r="AR764" t="s">
        <v>3957</v>
      </c>
      <c r="AS764" t="s">
        <v>3958</v>
      </c>
      <c r="AT764" t="s">
        <v>10131</v>
      </c>
      <c r="AU764">
        <v>1998</v>
      </c>
      <c r="AV764">
        <v>10</v>
      </c>
      <c r="AW764">
        <v>2</v>
      </c>
      <c r="AX764" t="s">
        <v>74</v>
      </c>
      <c r="AY764" t="s">
        <v>74</v>
      </c>
      <c r="AZ764" t="s">
        <v>74</v>
      </c>
      <c r="BA764" t="s">
        <v>74</v>
      </c>
      <c r="BB764">
        <v>171</v>
      </c>
      <c r="BC764">
        <v>172</v>
      </c>
      <c r="BD764" t="s">
        <v>74</v>
      </c>
      <c r="BE764" t="s">
        <v>10218</v>
      </c>
      <c r="BF764" t="str">
        <f>HYPERLINK("http://dx.doi.org/10.1017/S0954102098000224","http://dx.doi.org/10.1017/S0954102098000224")</f>
        <v>http://dx.doi.org/10.1017/S0954102098000224</v>
      </c>
      <c r="BG764" t="s">
        <v>74</v>
      </c>
      <c r="BH764" t="s">
        <v>74</v>
      </c>
      <c r="BI764">
        <v>2</v>
      </c>
      <c r="BJ764" t="s">
        <v>3960</v>
      </c>
      <c r="BK764" t="s">
        <v>95</v>
      </c>
      <c r="BL764" t="s">
        <v>3961</v>
      </c>
      <c r="BM764" t="s">
        <v>10151</v>
      </c>
      <c r="BN764" t="s">
        <v>74</v>
      </c>
      <c r="BO764" t="s">
        <v>74</v>
      </c>
      <c r="BP764" t="s">
        <v>74</v>
      </c>
      <c r="BQ764" t="s">
        <v>74</v>
      </c>
      <c r="BR764" t="s">
        <v>98</v>
      </c>
      <c r="BS764" t="s">
        <v>10219</v>
      </c>
      <c r="BT764" t="str">
        <f>HYPERLINK("https%3A%2F%2Fwww.webofscience.com%2Fwos%2Fwoscc%2Ffull-record%2FWOS:000074231400008","View Full Record in Web of Science")</f>
        <v>View Full Record in Web of Science</v>
      </c>
    </row>
    <row r="765" spans="1:72" x14ac:dyDescent="0.15">
      <c r="A765" t="s">
        <v>72</v>
      </c>
      <c r="B765" t="s">
        <v>10220</v>
      </c>
      <c r="C765" t="s">
        <v>74</v>
      </c>
      <c r="D765" t="s">
        <v>74</v>
      </c>
      <c r="E765" t="s">
        <v>74</v>
      </c>
      <c r="F765" t="s">
        <v>10220</v>
      </c>
      <c r="G765" t="s">
        <v>74</v>
      </c>
      <c r="H765" t="s">
        <v>74</v>
      </c>
      <c r="I765" t="s">
        <v>10221</v>
      </c>
      <c r="J765" t="s">
        <v>3955</v>
      </c>
      <c r="K765" t="s">
        <v>74</v>
      </c>
      <c r="L765" t="s">
        <v>74</v>
      </c>
      <c r="M765" t="s">
        <v>77</v>
      </c>
      <c r="N765" t="s">
        <v>103</v>
      </c>
      <c r="O765" t="s">
        <v>74</v>
      </c>
      <c r="P765" t="s">
        <v>74</v>
      </c>
      <c r="Q765" t="s">
        <v>74</v>
      </c>
      <c r="R765" t="s">
        <v>74</v>
      </c>
      <c r="S765" t="s">
        <v>74</v>
      </c>
      <c r="T765" t="s">
        <v>74</v>
      </c>
      <c r="U765" t="s">
        <v>74</v>
      </c>
      <c r="V765" t="s">
        <v>74</v>
      </c>
      <c r="W765" t="s">
        <v>10222</v>
      </c>
      <c r="X765" t="s">
        <v>4658</v>
      </c>
      <c r="Y765" t="s">
        <v>10223</v>
      </c>
      <c r="Z765" t="s">
        <v>74</v>
      </c>
      <c r="AA765" t="s">
        <v>74</v>
      </c>
      <c r="AB765" t="s">
        <v>74</v>
      </c>
      <c r="AC765" t="s">
        <v>74</v>
      </c>
      <c r="AD765" t="s">
        <v>74</v>
      </c>
      <c r="AE765" t="s">
        <v>74</v>
      </c>
      <c r="AF765" t="s">
        <v>74</v>
      </c>
      <c r="AG765">
        <v>12</v>
      </c>
      <c r="AH765">
        <v>10</v>
      </c>
      <c r="AI765">
        <v>10</v>
      </c>
      <c r="AJ765">
        <v>1</v>
      </c>
      <c r="AK765">
        <v>2</v>
      </c>
      <c r="AL765" t="s">
        <v>948</v>
      </c>
      <c r="AM765" t="s">
        <v>278</v>
      </c>
      <c r="AN765" t="s">
        <v>3974</v>
      </c>
      <c r="AO765" t="s">
        <v>3956</v>
      </c>
      <c r="AP765" t="s">
        <v>3975</v>
      </c>
      <c r="AQ765" t="s">
        <v>74</v>
      </c>
      <c r="AR765" t="s">
        <v>3957</v>
      </c>
      <c r="AS765" t="s">
        <v>3958</v>
      </c>
      <c r="AT765" t="s">
        <v>10131</v>
      </c>
      <c r="AU765">
        <v>1998</v>
      </c>
      <c r="AV765">
        <v>10</v>
      </c>
      <c r="AW765">
        <v>2</v>
      </c>
      <c r="AX765" t="s">
        <v>74</v>
      </c>
      <c r="AY765" t="s">
        <v>74</v>
      </c>
      <c r="AZ765" t="s">
        <v>74</v>
      </c>
      <c r="BA765" t="s">
        <v>74</v>
      </c>
      <c r="BB765">
        <v>173</v>
      </c>
      <c r="BC765">
        <v>174</v>
      </c>
      <c r="BD765" t="s">
        <v>74</v>
      </c>
      <c r="BE765" t="s">
        <v>10224</v>
      </c>
      <c r="BF765" t="str">
        <f>HYPERLINK("http://dx.doi.org/10.1017/S0954102098000236","http://dx.doi.org/10.1017/S0954102098000236")</f>
        <v>http://dx.doi.org/10.1017/S0954102098000236</v>
      </c>
      <c r="BG765" t="s">
        <v>74</v>
      </c>
      <c r="BH765" t="s">
        <v>74</v>
      </c>
      <c r="BI765">
        <v>2</v>
      </c>
      <c r="BJ765" t="s">
        <v>3960</v>
      </c>
      <c r="BK765" t="s">
        <v>95</v>
      </c>
      <c r="BL765" t="s">
        <v>3961</v>
      </c>
      <c r="BM765" t="s">
        <v>10151</v>
      </c>
      <c r="BN765" t="s">
        <v>74</v>
      </c>
      <c r="BO765" t="s">
        <v>74</v>
      </c>
      <c r="BP765" t="s">
        <v>74</v>
      </c>
      <c r="BQ765" t="s">
        <v>74</v>
      </c>
      <c r="BR765" t="s">
        <v>98</v>
      </c>
      <c r="BS765" t="s">
        <v>10225</v>
      </c>
      <c r="BT765" t="str">
        <f>HYPERLINK("https%3A%2F%2Fwww.webofscience.com%2Fwos%2Fwoscc%2Ffull-record%2FWOS:000074231400009","View Full Record in Web of Science")</f>
        <v>View Full Record in Web of Science</v>
      </c>
    </row>
    <row r="766" spans="1:72" x14ac:dyDescent="0.15">
      <c r="A766" t="s">
        <v>72</v>
      </c>
      <c r="B766" t="s">
        <v>10226</v>
      </c>
      <c r="C766" t="s">
        <v>74</v>
      </c>
      <c r="D766" t="s">
        <v>74</v>
      </c>
      <c r="E766" t="s">
        <v>74</v>
      </c>
      <c r="F766" t="s">
        <v>10226</v>
      </c>
      <c r="G766" t="s">
        <v>74</v>
      </c>
      <c r="H766" t="s">
        <v>74</v>
      </c>
      <c r="I766" t="s">
        <v>10227</v>
      </c>
      <c r="J766" t="s">
        <v>3955</v>
      </c>
      <c r="K766" t="s">
        <v>74</v>
      </c>
      <c r="L766" t="s">
        <v>74</v>
      </c>
      <c r="M766" t="s">
        <v>77</v>
      </c>
      <c r="N766" t="s">
        <v>103</v>
      </c>
      <c r="O766" t="s">
        <v>74</v>
      </c>
      <c r="P766" t="s">
        <v>74</v>
      </c>
      <c r="Q766" t="s">
        <v>74</v>
      </c>
      <c r="R766" t="s">
        <v>74</v>
      </c>
      <c r="S766" t="s">
        <v>74</v>
      </c>
      <c r="T766" t="s">
        <v>10228</v>
      </c>
      <c r="U766" t="s">
        <v>10229</v>
      </c>
      <c r="V766" t="s">
        <v>10230</v>
      </c>
      <c r="W766" t="s">
        <v>10231</v>
      </c>
      <c r="X766" t="s">
        <v>2694</v>
      </c>
      <c r="Y766" t="s">
        <v>10232</v>
      </c>
      <c r="Z766" t="s">
        <v>74</v>
      </c>
      <c r="AA766" t="s">
        <v>10233</v>
      </c>
      <c r="AB766" t="s">
        <v>10234</v>
      </c>
      <c r="AC766" t="s">
        <v>74</v>
      </c>
      <c r="AD766" t="s">
        <v>74</v>
      </c>
      <c r="AE766" t="s">
        <v>74</v>
      </c>
      <c r="AF766" t="s">
        <v>74</v>
      </c>
      <c r="AG766">
        <v>25</v>
      </c>
      <c r="AH766">
        <v>55</v>
      </c>
      <c r="AI766">
        <v>57</v>
      </c>
      <c r="AJ766">
        <v>1</v>
      </c>
      <c r="AK766">
        <v>7</v>
      </c>
      <c r="AL766" t="s">
        <v>1716</v>
      </c>
      <c r="AM766" t="s">
        <v>229</v>
      </c>
      <c r="AN766" t="s">
        <v>1717</v>
      </c>
      <c r="AO766" t="s">
        <v>3956</v>
      </c>
      <c r="AP766" t="s">
        <v>74</v>
      </c>
      <c r="AQ766" t="s">
        <v>74</v>
      </c>
      <c r="AR766" t="s">
        <v>3957</v>
      </c>
      <c r="AS766" t="s">
        <v>3958</v>
      </c>
      <c r="AT766" t="s">
        <v>10131</v>
      </c>
      <c r="AU766">
        <v>1998</v>
      </c>
      <c r="AV766">
        <v>10</v>
      </c>
      <c r="AW766">
        <v>2</v>
      </c>
      <c r="AX766" t="s">
        <v>74</v>
      </c>
      <c r="AY766" t="s">
        <v>74</v>
      </c>
      <c r="AZ766" t="s">
        <v>74</v>
      </c>
      <c r="BA766" t="s">
        <v>74</v>
      </c>
      <c r="BB766">
        <v>175</v>
      </c>
      <c r="BC766">
        <v>183</v>
      </c>
      <c r="BD766" t="s">
        <v>74</v>
      </c>
      <c r="BE766" t="s">
        <v>10235</v>
      </c>
      <c r="BF766" t="str">
        <f>HYPERLINK("http://dx.doi.org/10.1017/S0954102098000248","http://dx.doi.org/10.1017/S0954102098000248")</f>
        <v>http://dx.doi.org/10.1017/S0954102098000248</v>
      </c>
      <c r="BG766" t="s">
        <v>74</v>
      </c>
      <c r="BH766" t="s">
        <v>74</v>
      </c>
      <c r="BI766">
        <v>9</v>
      </c>
      <c r="BJ766" t="s">
        <v>3960</v>
      </c>
      <c r="BK766" t="s">
        <v>95</v>
      </c>
      <c r="BL766" t="s">
        <v>3961</v>
      </c>
      <c r="BM766" t="s">
        <v>10151</v>
      </c>
      <c r="BN766" t="s">
        <v>74</v>
      </c>
      <c r="BO766" t="s">
        <v>74</v>
      </c>
      <c r="BP766" t="s">
        <v>74</v>
      </c>
      <c r="BQ766" t="s">
        <v>74</v>
      </c>
      <c r="BR766" t="s">
        <v>98</v>
      </c>
      <c r="BS766" t="s">
        <v>10236</v>
      </c>
      <c r="BT766" t="str">
        <f>HYPERLINK("https%3A%2F%2Fwww.webofscience.com%2Fwos%2Fwoscc%2Ffull-record%2FWOS:000074231400010","View Full Record in Web of Science")</f>
        <v>View Full Record in Web of Science</v>
      </c>
    </row>
    <row r="767" spans="1:72" x14ac:dyDescent="0.15">
      <c r="A767" t="s">
        <v>72</v>
      </c>
      <c r="B767" t="s">
        <v>10226</v>
      </c>
      <c r="C767" t="s">
        <v>74</v>
      </c>
      <c r="D767" t="s">
        <v>74</v>
      </c>
      <c r="E767" t="s">
        <v>74</v>
      </c>
      <c r="F767" t="s">
        <v>10226</v>
      </c>
      <c r="G767" t="s">
        <v>74</v>
      </c>
      <c r="H767" t="s">
        <v>74</v>
      </c>
      <c r="I767" t="s">
        <v>10237</v>
      </c>
      <c r="J767" t="s">
        <v>3955</v>
      </c>
      <c r="K767" t="s">
        <v>74</v>
      </c>
      <c r="L767" t="s">
        <v>74</v>
      </c>
      <c r="M767" t="s">
        <v>77</v>
      </c>
      <c r="N767" t="s">
        <v>103</v>
      </c>
      <c r="O767" t="s">
        <v>74</v>
      </c>
      <c r="P767" t="s">
        <v>74</v>
      </c>
      <c r="Q767" t="s">
        <v>74</v>
      </c>
      <c r="R767" t="s">
        <v>74</v>
      </c>
      <c r="S767" t="s">
        <v>74</v>
      </c>
      <c r="T767" t="s">
        <v>10228</v>
      </c>
      <c r="U767" t="s">
        <v>10238</v>
      </c>
      <c r="V767" t="s">
        <v>10239</v>
      </c>
      <c r="W767" t="s">
        <v>10231</v>
      </c>
      <c r="X767" t="s">
        <v>2694</v>
      </c>
      <c r="Y767" t="s">
        <v>10232</v>
      </c>
      <c r="Z767" t="s">
        <v>10240</v>
      </c>
      <c r="AA767" t="s">
        <v>10233</v>
      </c>
      <c r="AB767" t="s">
        <v>10234</v>
      </c>
      <c r="AC767" t="s">
        <v>74</v>
      </c>
      <c r="AD767" t="s">
        <v>74</v>
      </c>
      <c r="AE767" t="s">
        <v>74</v>
      </c>
      <c r="AF767" t="s">
        <v>74</v>
      </c>
      <c r="AG767">
        <v>28</v>
      </c>
      <c r="AH767">
        <v>38</v>
      </c>
      <c r="AI767">
        <v>38</v>
      </c>
      <c r="AJ767">
        <v>2</v>
      </c>
      <c r="AK767">
        <v>5</v>
      </c>
      <c r="AL767" t="s">
        <v>948</v>
      </c>
      <c r="AM767" t="s">
        <v>278</v>
      </c>
      <c r="AN767" t="s">
        <v>3974</v>
      </c>
      <c r="AO767" t="s">
        <v>3956</v>
      </c>
      <c r="AP767" t="s">
        <v>3975</v>
      </c>
      <c r="AQ767" t="s">
        <v>74</v>
      </c>
      <c r="AR767" t="s">
        <v>3957</v>
      </c>
      <c r="AS767" t="s">
        <v>3958</v>
      </c>
      <c r="AT767" t="s">
        <v>10131</v>
      </c>
      <c r="AU767">
        <v>1998</v>
      </c>
      <c r="AV767">
        <v>10</v>
      </c>
      <c r="AW767">
        <v>2</v>
      </c>
      <c r="AX767" t="s">
        <v>74</v>
      </c>
      <c r="AY767" t="s">
        <v>74</v>
      </c>
      <c r="AZ767" t="s">
        <v>74</v>
      </c>
      <c r="BA767" t="s">
        <v>74</v>
      </c>
      <c r="BB767">
        <v>184</v>
      </c>
      <c r="BC767">
        <v>191</v>
      </c>
      <c r="BD767" t="s">
        <v>74</v>
      </c>
      <c r="BE767" t="s">
        <v>10241</v>
      </c>
      <c r="BF767" t="str">
        <f>HYPERLINK("http://dx.doi.org/10.1017/S095410209800025X","http://dx.doi.org/10.1017/S095410209800025X")</f>
        <v>http://dx.doi.org/10.1017/S095410209800025X</v>
      </c>
      <c r="BG767" t="s">
        <v>74</v>
      </c>
      <c r="BH767" t="s">
        <v>74</v>
      </c>
      <c r="BI767">
        <v>8</v>
      </c>
      <c r="BJ767" t="s">
        <v>3960</v>
      </c>
      <c r="BK767" t="s">
        <v>95</v>
      </c>
      <c r="BL767" t="s">
        <v>3961</v>
      </c>
      <c r="BM767" t="s">
        <v>10151</v>
      </c>
      <c r="BN767" t="s">
        <v>74</v>
      </c>
      <c r="BO767" t="s">
        <v>74</v>
      </c>
      <c r="BP767" t="s">
        <v>74</v>
      </c>
      <c r="BQ767" t="s">
        <v>74</v>
      </c>
      <c r="BR767" t="s">
        <v>98</v>
      </c>
      <c r="BS767" t="s">
        <v>10242</v>
      </c>
      <c r="BT767" t="str">
        <f>HYPERLINK("https%3A%2F%2Fwww.webofscience.com%2Fwos%2Fwoscc%2Ffull-record%2FWOS:000074231400011","View Full Record in Web of Science")</f>
        <v>View Full Record in Web of Science</v>
      </c>
    </row>
    <row r="768" spans="1:72" x14ac:dyDescent="0.15">
      <c r="A768" t="s">
        <v>72</v>
      </c>
      <c r="B768" t="s">
        <v>10243</v>
      </c>
      <c r="C768" t="s">
        <v>74</v>
      </c>
      <c r="D768" t="s">
        <v>74</v>
      </c>
      <c r="E768" t="s">
        <v>74</v>
      </c>
      <c r="F768" t="s">
        <v>10243</v>
      </c>
      <c r="G768" t="s">
        <v>74</v>
      </c>
      <c r="H768" t="s">
        <v>74</v>
      </c>
      <c r="I768" t="s">
        <v>10244</v>
      </c>
      <c r="J768" t="s">
        <v>3955</v>
      </c>
      <c r="K768" t="s">
        <v>74</v>
      </c>
      <c r="L768" t="s">
        <v>74</v>
      </c>
      <c r="M768" t="s">
        <v>77</v>
      </c>
      <c r="N768" t="s">
        <v>103</v>
      </c>
      <c r="O768" t="s">
        <v>74</v>
      </c>
      <c r="P768" t="s">
        <v>74</v>
      </c>
      <c r="Q768" t="s">
        <v>74</v>
      </c>
      <c r="R768" t="s">
        <v>74</v>
      </c>
      <c r="S768" t="s">
        <v>74</v>
      </c>
      <c r="T768" t="s">
        <v>10245</v>
      </c>
      <c r="U768" t="s">
        <v>4065</v>
      </c>
      <c r="V768" t="s">
        <v>10246</v>
      </c>
      <c r="W768" t="s">
        <v>944</v>
      </c>
      <c r="X768" t="s">
        <v>628</v>
      </c>
      <c r="Y768" t="s">
        <v>10247</v>
      </c>
      <c r="Z768" t="s">
        <v>74</v>
      </c>
      <c r="AA768" t="s">
        <v>74</v>
      </c>
      <c r="AB768" t="s">
        <v>74</v>
      </c>
      <c r="AC768" t="s">
        <v>74</v>
      </c>
      <c r="AD768" t="s">
        <v>74</v>
      </c>
      <c r="AE768" t="s">
        <v>74</v>
      </c>
      <c r="AF768" t="s">
        <v>74</v>
      </c>
      <c r="AG768">
        <v>21</v>
      </c>
      <c r="AH768">
        <v>14</v>
      </c>
      <c r="AI768">
        <v>14</v>
      </c>
      <c r="AJ768">
        <v>1</v>
      </c>
      <c r="AK768">
        <v>2</v>
      </c>
      <c r="AL768" t="s">
        <v>1716</v>
      </c>
      <c r="AM768" t="s">
        <v>229</v>
      </c>
      <c r="AN768" t="s">
        <v>1717</v>
      </c>
      <c r="AO768" t="s">
        <v>3956</v>
      </c>
      <c r="AP768" t="s">
        <v>74</v>
      </c>
      <c r="AQ768" t="s">
        <v>74</v>
      </c>
      <c r="AR768" t="s">
        <v>3957</v>
      </c>
      <c r="AS768" t="s">
        <v>3958</v>
      </c>
      <c r="AT768" t="s">
        <v>10131</v>
      </c>
      <c r="AU768">
        <v>1998</v>
      </c>
      <c r="AV768">
        <v>10</v>
      </c>
      <c r="AW768">
        <v>2</v>
      </c>
      <c r="AX768" t="s">
        <v>74</v>
      </c>
      <c r="AY768" t="s">
        <v>74</v>
      </c>
      <c r="AZ768" t="s">
        <v>74</v>
      </c>
      <c r="BA768" t="s">
        <v>74</v>
      </c>
      <c r="BB768">
        <v>192</v>
      </c>
      <c r="BC768">
        <v>203</v>
      </c>
      <c r="BD768" t="s">
        <v>74</v>
      </c>
      <c r="BE768" t="s">
        <v>10248</v>
      </c>
      <c r="BF768" t="str">
        <f>HYPERLINK("http://dx.doi.org/10.1017/S0954102098000261","http://dx.doi.org/10.1017/S0954102098000261")</f>
        <v>http://dx.doi.org/10.1017/S0954102098000261</v>
      </c>
      <c r="BG768" t="s">
        <v>74</v>
      </c>
      <c r="BH768" t="s">
        <v>74</v>
      </c>
      <c r="BI768">
        <v>12</v>
      </c>
      <c r="BJ768" t="s">
        <v>3960</v>
      </c>
      <c r="BK768" t="s">
        <v>95</v>
      </c>
      <c r="BL768" t="s">
        <v>3961</v>
      </c>
      <c r="BM768" t="s">
        <v>10151</v>
      </c>
      <c r="BN768" t="s">
        <v>74</v>
      </c>
      <c r="BO768" t="s">
        <v>74</v>
      </c>
      <c r="BP768" t="s">
        <v>74</v>
      </c>
      <c r="BQ768" t="s">
        <v>74</v>
      </c>
      <c r="BR768" t="s">
        <v>98</v>
      </c>
      <c r="BS768" t="s">
        <v>10249</v>
      </c>
      <c r="BT768" t="str">
        <f>HYPERLINK("https%3A%2F%2Fwww.webofscience.com%2Fwos%2Fwoscc%2Ffull-record%2FWOS:000074231400012","View Full Record in Web of Science")</f>
        <v>View Full Record in Web of Science</v>
      </c>
    </row>
    <row r="769" spans="1:72" x14ac:dyDescent="0.15">
      <c r="A769" t="s">
        <v>72</v>
      </c>
      <c r="B769" t="s">
        <v>10250</v>
      </c>
      <c r="C769" t="s">
        <v>74</v>
      </c>
      <c r="D769" t="s">
        <v>74</v>
      </c>
      <c r="E769" t="s">
        <v>74</v>
      </c>
      <c r="F769" t="s">
        <v>10250</v>
      </c>
      <c r="G769" t="s">
        <v>74</v>
      </c>
      <c r="H769" t="s">
        <v>74</v>
      </c>
      <c r="I769" t="s">
        <v>10251</v>
      </c>
      <c r="J769" t="s">
        <v>3955</v>
      </c>
      <c r="K769" t="s">
        <v>74</v>
      </c>
      <c r="L769" t="s">
        <v>74</v>
      </c>
      <c r="M769" t="s">
        <v>77</v>
      </c>
      <c r="N769" t="s">
        <v>103</v>
      </c>
      <c r="O769" t="s">
        <v>74</v>
      </c>
      <c r="P769" t="s">
        <v>74</v>
      </c>
      <c r="Q769" t="s">
        <v>74</v>
      </c>
      <c r="R769" t="s">
        <v>74</v>
      </c>
      <c r="S769" t="s">
        <v>74</v>
      </c>
      <c r="T769" t="s">
        <v>10252</v>
      </c>
      <c r="U769" t="s">
        <v>10253</v>
      </c>
      <c r="V769" t="s">
        <v>10254</v>
      </c>
      <c r="W769" t="s">
        <v>944</v>
      </c>
      <c r="X769" t="s">
        <v>628</v>
      </c>
      <c r="Y769" t="s">
        <v>10255</v>
      </c>
      <c r="Z769" t="s">
        <v>74</v>
      </c>
      <c r="AA769" t="s">
        <v>74</v>
      </c>
      <c r="AB769" t="s">
        <v>74</v>
      </c>
      <c r="AC769" t="s">
        <v>74</v>
      </c>
      <c r="AD769" t="s">
        <v>74</v>
      </c>
      <c r="AE769" t="s">
        <v>74</v>
      </c>
      <c r="AF769" t="s">
        <v>74</v>
      </c>
      <c r="AG769">
        <v>24</v>
      </c>
      <c r="AH769">
        <v>5</v>
      </c>
      <c r="AI769">
        <v>5</v>
      </c>
      <c r="AJ769">
        <v>0</v>
      </c>
      <c r="AK769">
        <v>0</v>
      </c>
      <c r="AL769" t="s">
        <v>1716</v>
      </c>
      <c r="AM769" t="s">
        <v>229</v>
      </c>
      <c r="AN769" t="s">
        <v>1717</v>
      </c>
      <c r="AO769" t="s">
        <v>3956</v>
      </c>
      <c r="AP769" t="s">
        <v>74</v>
      </c>
      <c r="AQ769" t="s">
        <v>74</v>
      </c>
      <c r="AR769" t="s">
        <v>3957</v>
      </c>
      <c r="AS769" t="s">
        <v>3958</v>
      </c>
      <c r="AT769" t="s">
        <v>10131</v>
      </c>
      <c r="AU769">
        <v>1998</v>
      </c>
      <c r="AV769">
        <v>10</v>
      </c>
      <c r="AW769">
        <v>2</v>
      </c>
      <c r="AX769" t="s">
        <v>74</v>
      </c>
      <c r="AY769" t="s">
        <v>74</v>
      </c>
      <c r="AZ769" t="s">
        <v>74</v>
      </c>
      <c r="BA769" t="s">
        <v>74</v>
      </c>
      <c r="BB769">
        <v>204</v>
      </c>
      <c r="BC769">
        <v>214</v>
      </c>
      <c r="BD769" t="s">
        <v>74</v>
      </c>
      <c r="BE769" t="s">
        <v>10256</v>
      </c>
      <c r="BF769" t="str">
        <f>HYPERLINK("http://dx.doi.org/10.1017/S0954102098000273","http://dx.doi.org/10.1017/S0954102098000273")</f>
        <v>http://dx.doi.org/10.1017/S0954102098000273</v>
      </c>
      <c r="BG769" t="s">
        <v>74</v>
      </c>
      <c r="BH769" t="s">
        <v>74</v>
      </c>
      <c r="BI769">
        <v>11</v>
      </c>
      <c r="BJ769" t="s">
        <v>3960</v>
      </c>
      <c r="BK769" t="s">
        <v>95</v>
      </c>
      <c r="BL769" t="s">
        <v>3961</v>
      </c>
      <c r="BM769" t="s">
        <v>10151</v>
      </c>
      <c r="BN769" t="s">
        <v>74</v>
      </c>
      <c r="BO769" t="s">
        <v>74</v>
      </c>
      <c r="BP769" t="s">
        <v>74</v>
      </c>
      <c r="BQ769" t="s">
        <v>74</v>
      </c>
      <c r="BR769" t="s">
        <v>98</v>
      </c>
      <c r="BS769" t="s">
        <v>10257</v>
      </c>
      <c r="BT769" t="str">
        <f>HYPERLINK("https%3A%2F%2Fwww.webofscience.com%2Fwos%2Fwoscc%2Ffull-record%2FWOS:000074231400013","View Full Record in Web of Science")</f>
        <v>View Full Record in Web of Science</v>
      </c>
    </row>
    <row r="770" spans="1:72" x14ac:dyDescent="0.15">
      <c r="A770" t="s">
        <v>72</v>
      </c>
      <c r="B770" t="s">
        <v>10258</v>
      </c>
      <c r="C770" t="s">
        <v>74</v>
      </c>
      <c r="D770" t="s">
        <v>74</v>
      </c>
      <c r="E770" t="s">
        <v>74</v>
      </c>
      <c r="F770" t="s">
        <v>10258</v>
      </c>
      <c r="G770" t="s">
        <v>74</v>
      </c>
      <c r="H770" t="s">
        <v>74</v>
      </c>
      <c r="I770" t="s">
        <v>10259</v>
      </c>
      <c r="J770" t="s">
        <v>10260</v>
      </c>
      <c r="K770" t="s">
        <v>74</v>
      </c>
      <c r="L770" t="s">
        <v>74</v>
      </c>
      <c r="M770" t="s">
        <v>77</v>
      </c>
      <c r="N770" t="s">
        <v>103</v>
      </c>
      <c r="O770" t="s">
        <v>74</v>
      </c>
      <c r="P770" t="s">
        <v>74</v>
      </c>
      <c r="Q770" t="s">
        <v>74</v>
      </c>
      <c r="R770" t="s">
        <v>74</v>
      </c>
      <c r="S770" t="s">
        <v>74</v>
      </c>
      <c r="T770" t="s">
        <v>10261</v>
      </c>
      <c r="U770" t="s">
        <v>10262</v>
      </c>
      <c r="V770" t="s">
        <v>10263</v>
      </c>
      <c r="W770" t="s">
        <v>10264</v>
      </c>
      <c r="X770" t="s">
        <v>10265</v>
      </c>
      <c r="Y770" t="s">
        <v>10266</v>
      </c>
      <c r="Z770" t="s">
        <v>74</v>
      </c>
      <c r="AA770" t="s">
        <v>10267</v>
      </c>
      <c r="AB770" t="s">
        <v>10268</v>
      </c>
      <c r="AC770" t="s">
        <v>74</v>
      </c>
      <c r="AD770" t="s">
        <v>74</v>
      </c>
      <c r="AE770" t="s">
        <v>74</v>
      </c>
      <c r="AF770" t="s">
        <v>74</v>
      </c>
      <c r="AG770">
        <v>36</v>
      </c>
      <c r="AH770">
        <v>19</v>
      </c>
      <c r="AI770">
        <v>19</v>
      </c>
      <c r="AJ770">
        <v>0</v>
      </c>
      <c r="AK770">
        <v>9</v>
      </c>
      <c r="AL770" t="s">
        <v>1275</v>
      </c>
      <c r="AM770" t="s">
        <v>1147</v>
      </c>
      <c r="AN770" t="s">
        <v>10269</v>
      </c>
      <c r="AO770" t="s">
        <v>10270</v>
      </c>
      <c r="AP770" t="s">
        <v>74</v>
      </c>
      <c r="AQ770" t="s">
        <v>74</v>
      </c>
      <c r="AR770" t="s">
        <v>10271</v>
      </c>
      <c r="AS770" t="s">
        <v>10272</v>
      </c>
      <c r="AT770" t="s">
        <v>10131</v>
      </c>
      <c r="AU770">
        <v>1998</v>
      </c>
      <c r="AV770">
        <v>102</v>
      </c>
      <c r="AW770">
        <v>6</v>
      </c>
      <c r="AX770" t="s">
        <v>74</v>
      </c>
      <c r="AY770" t="s">
        <v>74</v>
      </c>
      <c r="AZ770" t="s">
        <v>74</v>
      </c>
      <c r="BA770" t="s">
        <v>74</v>
      </c>
      <c r="BB770">
        <v>811</v>
      </c>
      <c r="BC770">
        <v>820</v>
      </c>
      <c r="BD770" t="s">
        <v>74</v>
      </c>
      <c r="BE770" t="s">
        <v>10273</v>
      </c>
      <c r="BF770" t="str">
        <f>HYPERLINK("http://dx.doi.org/10.1002/bbpc.19981020604","http://dx.doi.org/10.1002/bbpc.19981020604")</f>
        <v>http://dx.doi.org/10.1002/bbpc.19981020604</v>
      </c>
      <c r="BG770" t="s">
        <v>74</v>
      </c>
      <c r="BH770" t="s">
        <v>74</v>
      </c>
      <c r="BI770">
        <v>10</v>
      </c>
      <c r="BJ770" t="s">
        <v>5015</v>
      </c>
      <c r="BK770" t="s">
        <v>95</v>
      </c>
      <c r="BL770" t="s">
        <v>1284</v>
      </c>
      <c r="BM770" t="s">
        <v>10274</v>
      </c>
      <c r="BN770" t="s">
        <v>74</v>
      </c>
      <c r="BO770" t="s">
        <v>74</v>
      </c>
      <c r="BP770" t="s">
        <v>74</v>
      </c>
      <c r="BQ770" t="s">
        <v>74</v>
      </c>
      <c r="BR770" t="s">
        <v>98</v>
      </c>
      <c r="BS770" t="s">
        <v>10275</v>
      </c>
      <c r="BT770" t="str">
        <f>HYPERLINK("https%3A%2F%2Fwww.webofscience.com%2Fwos%2Fwoscc%2Ffull-record%2FWOS:000074369900003","View Full Record in Web of Science")</f>
        <v>View Full Record in Web of Science</v>
      </c>
    </row>
    <row r="771" spans="1:72" x14ac:dyDescent="0.15">
      <c r="A771" t="s">
        <v>72</v>
      </c>
      <c r="B771" t="s">
        <v>10276</v>
      </c>
      <c r="C771" t="s">
        <v>74</v>
      </c>
      <c r="D771" t="s">
        <v>74</v>
      </c>
      <c r="E771" t="s">
        <v>74</v>
      </c>
      <c r="F771" t="s">
        <v>10276</v>
      </c>
      <c r="G771" t="s">
        <v>74</v>
      </c>
      <c r="H771" t="s">
        <v>74</v>
      </c>
      <c r="I771" t="s">
        <v>10277</v>
      </c>
      <c r="J771" t="s">
        <v>10278</v>
      </c>
      <c r="K771" t="s">
        <v>74</v>
      </c>
      <c r="L771" t="s">
        <v>74</v>
      </c>
      <c r="M771" t="s">
        <v>77</v>
      </c>
      <c r="N771" t="s">
        <v>103</v>
      </c>
      <c r="O771" t="s">
        <v>74</v>
      </c>
      <c r="P771" t="s">
        <v>74</v>
      </c>
      <c r="Q771" t="s">
        <v>74</v>
      </c>
      <c r="R771" t="s">
        <v>74</v>
      </c>
      <c r="S771" t="s">
        <v>74</v>
      </c>
      <c r="T771" t="s">
        <v>74</v>
      </c>
      <c r="U771" t="s">
        <v>10279</v>
      </c>
      <c r="V771" t="s">
        <v>10280</v>
      </c>
      <c r="W771" t="s">
        <v>10281</v>
      </c>
      <c r="X771" t="s">
        <v>10282</v>
      </c>
      <c r="Y771" t="s">
        <v>10283</v>
      </c>
      <c r="Z771" t="s">
        <v>10284</v>
      </c>
      <c r="AA771" t="s">
        <v>10285</v>
      </c>
      <c r="AB771" t="s">
        <v>7043</v>
      </c>
      <c r="AC771" t="s">
        <v>74</v>
      </c>
      <c r="AD771" t="s">
        <v>74</v>
      </c>
      <c r="AE771" t="s">
        <v>74</v>
      </c>
      <c r="AF771" t="s">
        <v>74</v>
      </c>
      <c r="AG771">
        <v>45</v>
      </c>
      <c r="AH771">
        <v>53</v>
      </c>
      <c r="AI771">
        <v>61</v>
      </c>
      <c r="AJ771">
        <v>0</v>
      </c>
      <c r="AK771">
        <v>8</v>
      </c>
      <c r="AL771" t="s">
        <v>10286</v>
      </c>
      <c r="AM771" t="s">
        <v>1121</v>
      </c>
      <c r="AN771" t="s">
        <v>10287</v>
      </c>
      <c r="AO771" t="s">
        <v>10288</v>
      </c>
      <c r="AP771" t="s">
        <v>74</v>
      </c>
      <c r="AQ771" t="s">
        <v>74</v>
      </c>
      <c r="AR771" t="s">
        <v>10289</v>
      </c>
      <c r="AS771" t="s">
        <v>10290</v>
      </c>
      <c r="AT771" t="s">
        <v>10291</v>
      </c>
      <c r="AU771">
        <v>1998</v>
      </c>
      <c r="AV771">
        <v>332</v>
      </c>
      <c r="AW771" t="s">
        <v>74</v>
      </c>
      <c r="AX771">
        <v>2</v>
      </c>
      <c r="AY771" t="s">
        <v>74</v>
      </c>
      <c r="AZ771" t="s">
        <v>74</v>
      </c>
      <c r="BA771" t="s">
        <v>74</v>
      </c>
      <c r="BB771">
        <v>475</v>
      </c>
      <c r="BC771">
        <v>481</v>
      </c>
      <c r="BD771" t="s">
        <v>74</v>
      </c>
      <c r="BE771" t="s">
        <v>10292</v>
      </c>
      <c r="BF771" t="str">
        <f>HYPERLINK("http://dx.doi.org/10.1042/bj3320475","http://dx.doi.org/10.1042/bj3320475")</f>
        <v>http://dx.doi.org/10.1042/bj3320475</v>
      </c>
      <c r="BG771" t="s">
        <v>74</v>
      </c>
      <c r="BH771" t="s">
        <v>74</v>
      </c>
      <c r="BI771">
        <v>7</v>
      </c>
      <c r="BJ771" t="s">
        <v>3744</v>
      </c>
      <c r="BK771" t="s">
        <v>95</v>
      </c>
      <c r="BL771" t="s">
        <v>3744</v>
      </c>
      <c r="BM771" t="s">
        <v>10293</v>
      </c>
      <c r="BN771">
        <v>9601077</v>
      </c>
      <c r="BO771" t="s">
        <v>1005</v>
      </c>
      <c r="BP771" t="s">
        <v>74</v>
      </c>
      <c r="BQ771" t="s">
        <v>74</v>
      </c>
      <c r="BR771" t="s">
        <v>98</v>
      </c>
      <c r="BS771" t="s">
        <v>10294</v>
      </c>
      <c r="BT771" t="str">
        <f>HYPERLINK("https%3A%2F%2Fwww.webofscience.com%2Fwos%2Fwoscc%2Ffull-record%2FWOS:000074277900025","View Full Record in Web of Science")</f>
        <v>View Full Record in Web of Science</v>
      </c>
    </row>
    <row r="772" spans="1:72" x14ac:dyDescent="0.15">
      <c r="A772" t="s">
        <v>72</v>
      </c>
      <c r="B772" t="s">
        <v>10295</v>
      </c>
      <c r="C772" t="s">
        <v>74</v>
      </c>
      <c r="D772" t="s">
        <v>74</v>
      </c>
      <c r="E772" t="s">
        <v>74</v>
      </c>
      <c r="F772" t="s">
        <v>10295</v>
      </c>
      <c r="G772" t="s">
        <v>74</v>
      </c>
      <c r="H772" t="s">
        <v>74</v>
      </c>
      <c r="I772" t="s">
        <v>10296</v>
      </c>
      <c r="J772" t="s">
        <v>5178</v>
      </c>
      <c r="K772" t="s">
        <v>74</v>
      </c>
      <c r="L772" t="s">
        <v>74</v>
      </c>
      <c r="M772" t="s">
        <v>77</v>
      </c>
      <c r="N772" t="s">
        <v>103</v>
      </c>
      <c r="O772" t="s">
        <v>74</v>
      </c>
      <c r="P772" t="s">
        <v>74</v>
      </c>
      <c r="Q772" t="s">
        <v>74</v>
      </c>
      <c r="R772" t="s">
        <v>74</v>
      </c>
      <c r="S772" t="s">
        <v>74</v>
      </c>
      <c r="T772" t="s">
        <v>74</v>
      </c>
      <c r="U772" t="s">
        <v>10297</v>
      </c>
      <c r="V772" t="s">
        <v>10298</v>
      </c>
      <c r="W772" t="s">
        <v>10299</v>
      </c>
      <c r="X772" t="s">
        <v>10300</v>
      </c>
      <c r="Y772" t="s">
        <v>10301</v>
      </c>
      <c r="Z772" t="s">
        <v>10302</v>
      </c>
      <c r="AA772" t="s">
        <v>10303</v>
      </c>
      <c r="AB772" t="s">
        <v>10304</v>
      </c>
      <c r="AC772" t="s">
        <v>74</v>
      </c>
      <c r="AD772" t="s">
        <v>74</v>
      </c>
      <c r="AE772" t="s">
        <v>74</v>
      </c>
      <c r="AF772" t="s">
        <v>74</v>
      </c>
      <c r="AG772">
        <v>60</v>
      </c>
      <c r="AH772">
        <v>76</v>
      </c>
      <c r="AI772">
        <v>84</v>
      </c>
      <c r="AJ772">
        <v>0</v>
      </c>
      <c r="AK772">
        <v>17</v>
      </c>
      <c r="AL772" t="s">
        <v>5185</v>
      </c>
      <c r="AM772" t="s">
        <v>257</v>
      </c>
      <c r="AN772" t="s">
        <v>5186</v>
      </c>
      <c r="AO772" t="s">
        <v>259</v>
      </c>
      <c r="AP772" t="s">
        <v>5187</v>
      </c>
      <c r="AQ772" t="s">
        <v>74</v>
      </c>
      <c r="AR772" t="s">
        <v>260</v>
      </c>
      <c r="AS772" t="s">
        <v>5188</v>
      </c>
      <c r="AT772" t="s">
        <v>10131</v>
      </c>
      <c r="AU772">
        <v>1998</v>
      </c>
      <c r="AV772">
        <v>76</v>
      </c>
      <c r="AW772">
        <v>6</v>
      </c>
      <c r="AX772" t="s">
        <v>74</v>
      </c>
      <c r="AY772" t="s">
        <v>74</v>
      </c>
      <c r="AZ772" t="s">
        <v>74</v>
      </c>
      <c r="BA772" t="s">
        <v>74</v>
      </c>
      <c r="BB772">
        <v>1044</v>
      </c>
      <c r="BC772">
        <v>1053</v>
      </c>
      <c r="BD772" t="s">
        <v>74</v>
      </c>
      <c r="BE772" t="s">
        <v>10305</v>
      </c>
      <c r="BF772" t="str">
        <f>HYPERLINK("http://dx.doi.org/10.1139/cjz-76-6-1044","http://dx.doi.org/10.1139/cjz-76-6-1044")</f>
        <v>http://dx.doi.org/10.1139/cjz-76-6-1044</v>
      </c>
      <c r="BG772" t="s">
        <v>74</v>
      </c>
      <c r="BH772" t="s">
        <v>74</v>
      </c>
      <c r="BI772">
        <v>10</v>
      </c>
      <c r="BJ772" t="s">
        <v>117</v>
      </c>
      <c r="BK772" t="s">
        <v>95</v>
      </c>
      <c r="BL772" t="s">
        <v>117</v>
      </c>
      <c r="BM772" t="s">
        <v>10306</v>
      </c>
      <c r="BN772" t="s">
        <v>74</v>
      </c>
      <c r="BO772" t="s">
        <v>74</v>
      </c>
      <c r="BP772" t="s">
        <v>74</v>
      </c>
      <c r="BQ772" t="s">
        <v>74</v>
      </c>
      <c r="BR772" t="s">
        <v>98</v>
      </c>
      <c r="BS772" t="s">
        <v>10307</v>
      </c>
      <c r="BT772" t="str">
        <f>HYPERLINK("https%3A%2F%2Fwww.webofscience.com%2Fwos%2Fwoscc%2Ffull-record%2FWOS:000077327300007","View Full Record in Web of Science")</f>
        <v>View Full Record in Web of Science</v>
      </c>
    </row>
    <row r="773" spans="1:72" x14ac:dyDescent="0.15">
      <c r="A773" t="s">
        <v>72</v>
      </c>
      <c r="B773" t="s">
        <v>10308</v>
      </c>
      <c r="C773" t="s">
        <v>74</v>
      </c>
      <c r="D773" t="s">
        <v>74</v>
      </c>
      <c r="E773" t="s">
        <v>74</v>
      </c>
      <c r="F773" t="s">
        <v>10308</v>
      </c>
      <c r="G773" t="s">
        <v>74</v>
      </c>
      <c r="H773" t="s">
        <v>74</v>
      </c>
      <c r="I773" t="s">
        <v>10309</v>
      </c>
      <c r="J773" t="s">
        <v>8219</v>
      </c>
      <c r="K773" t="s">
        <v>74</v>
      </c>
      <c r="L773" t="s">
        <v>74</v>
      </c>
      <c r="M773" t="s">
        <v>77</v>
      </c>
      <c r="N773" t="s">
        <v>103</v>
      </c>
      <c r="O773" t="s">
        <v>74</v>
      </c>
      <c r="P773" t="s">
        <v>74</v>
      </c>
      <c r="Q773" t="s">
        <v>74</v>
      </c>
      <c r="R773" t="s">
        <v>74</v>
      </c>
      <c r="S773" t="s">
        <v>74</v>
      </c>
      <c r="T773" t="s">
        <v>10310</v>
      </c>
      <c r="U773" t="s">
        <v>10311</v>
      </c>
      <c r="V773" t="s">
        <v>10312</v>
      </c>
      <c r="W773" t="s">
        <v>10313</v>
      </c>
      <c r="X773" t="s">
        <v>10314</v>
      </c>
      <c r="Y773" t="s">
        <v>10315</v>
      </c>
      <c r="Z773" t="s">
        <v>10316</v>
      </c>
      <c r="AA773" t="s">
        <v>3996</v>
      </c>
      <c r="AB773" t="s">
        <v>10317</v>
      </c>
      <c r="AC773" t="s">
        <v>74</v>
      </c>
      <c r="AD773" t="s">
        <v>74</v>
      </c>
      <c r="AE773" t="s">
        <v>74</v>
      </c>
      <c r="AF773" t="s">
        <v>74</v>
      </c>
      <c r="AG773">
        <v>34</v>
      </c>
      <c r="AH773">
        <v>99</v>
      </c>
      <c r="AI773">
        <v>106</v>
      </c>
      <c r="AJ773">
        <v>0</v>
      </c>
      <c r="AK773">
        <v>17</v>
      </c>
      <c r="AL773" t="s">
        <v>445</v>
      </c>
      <c r="AM773" t="s">
        <v>229</v>
      </c>
      <c r="AN773" t="s">
        <v>446</v>
      </c>
      <c r="AO773" t="s">
        <v>8228</v>
      </c>
      <c r="AP773" t="s">
        <v>74</v>
      </c>
      <c r="AQ773" t="s">
        <v>74</v>
      </c>
      <c r="AR773" t="s">
        <v>8229</v>
      </c>
      <c r="AS773" t="s">
        <v>8230</v>
      </c>
      <c r="AT773" t="s">
        <v>10131</v>
      </c>
      <c r="AU773">
        <v>1998</v>
      </c>
      <c r="AV773">
        <v>120</v>
      </c>
      <c r="AW773">
        <v>2</v>
      </c>
      <c r="AX773" t="s">
        <v>74</v>
      </c>
      <c r="AY773" t="s">
        <v>74</v>
      </c>
      <c r="AZ773" t="s">
        <v>74</v>
      </c>
      <c r="BA773" t="s">
        <v>74</v>
      </c>
      <c r="BB773">
        <v>311</v>
      </c>
      <c r="BC773">
        <v>323</v>
      </c>
      <c r="BD773" t="s">
        <v>74</v>
      </c>
      <c r="BE773" t="s">
        <v>10318</v>
      </c>
      <c r="BF773" t="str">
        <f>HYPERLINK("http://dx.doi.org/10.1016/S0305-0491(98)10020-2","http://dx.doi.org/10.1016/S0305-0491(98)10020-2")</f>
        <v>http://dx.doi.org/10.1016/S0305-0491(98)10020-2</v>
      </c>
      <c r="BG773" t="s">
        <v>74</v>
      </c>
      <c r="BH773" t="s">
        <v>74</v>
      </c>
      <c r="BI773">
        <v>13</v>
      </c>
      <c r="BJ773" t="s">
        <v>8232</v>
      </c>
      <c r="BK773" t="s">
        <v>95</v>
      </c>
      <c r="BL773" t="s">
        <v>8232</v>
      </c>
      <c r="BM773" t="s">
        <v>10319</v>
      </c>
      <c r="BN773" t="s">
        <v>74</v>
      </c>
      <c r="BO773" t="s">
        <v>74</v>
      </c>
      <c r="BP773" t="s">
        <v>74</v>
      </c>
      <c r="BQ773" t="s">
        <v>74</v>
      </c>
      <c r="BR773" t="s">
        <v>98</v>
      </c>
      <c r="BS773" t="s">
        <v>10320</v>
      </c>
      <c r="BT773" t="str">
        <f>HYPERLINK("https%3A%2F%2Fwww.webofscience.com%2Fwos%2Fwoscc%2Ffull-record%2FWOS:000075742600010","View Full Record in Web of Science")</f>
        <v>View Full Record in Web of Science</v>
      </c>
    </row>
    <row r="774" spans="1:72" x14ac:dyDescent="0.15">
      <c r="A774" t="s">
        <v>72</v>
      </c>
      <c r="B774" t="s">
        <v>10321</v>
      </c>
      <c r="C774" t="s">
        <v>74</v>
      </c>
      <c r="D774" t="s">
        <v>74</v>
      </c>
      <c r="E774" t="s">
        <v>74</v>
      </c>
      <c r="F774" t="s">
        <v>10321</v>
      </c>
      <c r="G774" t="s">
        <v>74</v>
      </c>
      <c r="H774" t="s">
        <v>74</v>
      </c>
      <c r="I774" t="s">
        <v>10322</v>
      </c>
      <c r="J774" t="s">
        <v>8219</v>
      </c>
      <c r="K774" t="s">
        <v>74</v>
      </c>
      <c r="L774" t="s">
        <v>74</v>
      </c>
      <c r="M774" t="s">
        <v>77</v>
      </c>
      <c r="N774" t="s">
        <v>103</v>
      </c>
      <c r="O774" t="s">
        <v>74</v>
      </c>
      <c r="P774" t="s">
        <v>74</v>
      </c>
      <c r="Q774" t="s">
        <v>74</v>
      </c>
      <c r="R774" t="s">
        <v>74</v>
      </c>
      <c r="S774" t="s">
        <v>74</v>
      </c>
      <c r="T774" t="s">
        <v>10323</v>
      </c>
      <c r="U774" t="s">
        <v>10324</v>
      </c>
      <c r="V774" t="s">
        <v>10325</v>
      </c>
      <c r="W774" t="s">
        <v>10326</v>
      </c>
      <c r="X774" t="s">
        <v>10327</v>
      </c>
      <c r="Y774" t="s">
        <v>10328</v>
      </c>
      <c r="Z774" t="s">
        <v>10329</v>
      </c>
      <c r="AA774" t="s">
        <v>10330</v>
      </c>
      <c r="AB774" t="s">
        <v>10331</v>
      </c>
      <c r="AC774" t="s">
        <v>74</v>
      </c>
      <c r="AD774" t="s">
        <v>74</v>
      </c>
      <c r="AE774" t="s">
        <v>74</v>
      </c>
      <c r="AF774" t="s">
        <v>74</v>
      </c>
      <c r="AG774">
        <v>44</v>
      </c>
      <c r="AH774">
        <v>164</v>
      </c>
      <c r="AI774">
        <v>182</v>
      </c>
      <c r="AJ774">
        <v>1</v>
      </c>
      <c r="AK774">
        <v>41</v>
      </c>
      <c r="AL774" t="s">
        <v>6269</v>
      </c>
      <c r="AM774" t="s">
        <v>278</v>
      </c>
      <c r="AN774" t="s">
        <v>10332</v>
      </c>
      <c r="AO774" t="s">
        <v>10333</v>
      </c>
      <c r="AP774" t="s">
        <v>10334</v>
      </c>
      <c r="AQ774" t="s">
        <v>74</v>
      </c>
      <c r="AR774" t="s">
        <v>8229</v>
      </c>
      <c r="AS774" t="s">
        <v>8230</v>
      </c>
      <c r="AT774" t="s">
        <v>10131</v>
      </c>
      <c r="AU774">
        <v>1998</v>
      </c>
      <c r="AV774">
        <v>120</v>
      </c>
      <c r="AW774">
        <v>2</v>
      </c>
      <c r="AX774" t="s">
        <v>74</v>
      </c>
      <c r="AY774" t="s">
        <v>74</v>
      </c>
      <c r="AZ774" t="s">
        <v>74</v>
      </c>
      <c r="BA774" t="s">
        <v>74</v>
      </c>
      <c r="BB774">
        <v>425</v>
      </c>
      <c r="BC774">
        <v>435</v>
      </c>
      <c r="BD774" t="s">
        <v>74</v>
      </c>
      <c r="BE774" t="s">
        <v>10335</v>
      </c>
      <c r="BF774" t="str">
        <f>HYPERLINK("http://dx.doi.org/10.1016/S0305-0491(98)10028-7","http://dx.doi.org/10.1016/S0305-0491(98)10028-7")</f>
        <v>http://dx.doi.org/10.1016/S0305-0491(98)10028-7</v>
      </c>
      <c r="BG774" t="s">
        <v>74</v>
      </c>
      <c r="BH774" t="s">
        <v>74</v>
      </c>
      <c r="BI774">
        <v>11</v>
      </c>
      <c r="BJ774" t="s">
        <v>8232</v>
      </c>
      <c r="BK774" t="s">
        <v>95</v>
      </c>
      <c r="BL774" t="s">
        <v>8232</v>
      </c>
      <c r="BM774" t="s">
        <v>10319</v>
      </c>
      <c r="BN774" t="s">
        <v>74</v>
      </c>
      <c r="BO774" t="s">
        <v>1005</v>
      </c>
      <c r="BP774" t="s">
        <v>74</v>
      </c>
      <c r="BQ774" t="s">
        <v>74</v>
      </c>
      <c r="BR774" t="s">
        <v>98</v>
      </c>
      <c r="BS774" t="s">
        <v>10336</v>
      </c>
      <c r="BT774" t="str">
        <f>HYPERLINK("https%3A%2F%2Fwww.webofscience.com%2Fwos%2Fwoscc%2Ffull-record%2FWOS:000075742600022","View Full Record in Web of Science")</f>
        <v>View Full Record in Web of Science</v>
      </c>
    </row>
    <row r="775" spans="1:72" x14ac:dyDescent="0.15">
      <c r="A775" t="s">
        <v>72</v>
      </c>
      <c r="B775" t="s">
        <v>10337</v>
      </c>
      <c r="C775" t="s">
        <v>74</v>
      </c>
      <c r="D775" t="s">
        <v>74</v>
      </c>
      <c r="E775" t="s">
        <v>74</v>
      </c>
      <c r="F775" t="s">
        <v>10337</v>
      </c>
      <c r="G775" t="s">
        <v>74</v>
      </c>
      <c r="H775" t="s">
        <v>74</v>
      </c>
      <c r="I775" t="s">
        <v>10338</v>
      </c>
      <c r="J775" t="s">
        <v>4220</v>
      </c>
      <c r="K775" t="s">
        <v>74</v>
      </c>
      <c r="L775" t="s">
        <v>74</v>
      </c>
      <c r="M775" t="s">
        <v>10339</v>
      </c>
      <c r="N775" t="s">
        <v>103</v>
      </c>
      <c r="O775" t="s">
        <v>74</v>
      </c>
      <c r="P775" t="s">
        <v>74</v>
      </c>
      <c r="Q775" t="s">
        <v>74</v>
      </c>
      <c r="R775" t="s">
        <v>74</v>
      </c>
      <c r="S775" t="s">
        <v>74</v>
      </c>
      <c r="T775" t="s">
        <v>10340</v>
      </c>
      <c r="U775" t="s">
        <v>10341</v>
      </c>
      <c r="V775" t="s">
        <v>10342</v>
      </c>
      <c r="W775" t="s">
        <v>10343</v>
      </c>
      <c r="X775" t="s">
        <v>10344</v>
      </c>
      <c r="Y775" t="s">
        <v>10345</v>
      </c>
      <c r="Z775" t="s">
        <v>10346</v>
      </c>
      <c r="AA775" t="s">
        <v>10347</v>
      </c>
      <c r="AB775" t="s">
        <v>10348</v>
      </c>
      <c r="AC775" t="s">
        <v>74</v>
      </c>
      <c r="AD775" t="s">
        <v>74</v>
      </c>
      <c r="AE775" t="s">
        <v>74</v>
      </c>
      <c r="AF775" t="s">
        <v>74</v>
      </c>
      <c r="AG775">
        <v>13</v>
      </c>
      <c r="AH775">
        <v>3</v>
      </c>
      <c r="AI775">
        <v>3</v>
      </c>
      <c r="AJ775">
        <v>0</v>
      </c>
      <c r="AK775">
        <v>0</v>
      </c>
      <c r="AL775" t="s">
        <v>10349</v>
      </c>
      <c r="AM775" t="s">
        <v>10350</v>
      </c>
      <c r="AN775" t="s">
        <v>10351</v>
      </c>
      <c r="AO775" t="s">
        <v>4229</v>
      </c>
      <c r="AP775" t="s">
        <v>74</v>
      </c>
      <c r="AQ775" t="s">
        <v>74</v>
      </c>
      <c r="AR775" t="s">
        <v>4230</v>
      </c>
      <c r="AS775" t="s">
        <v>4231</v>
      </c>
      <c r="AT775" t="s">
        <v>10131</v>
      </c>
      <c r="AU775">
        <v>1998</v>
      </c>
      <c r="AV775">
        <v>326</v>
      </c>
      <c r="AW775">
        <v>11</v>
      </c>
      <c r="AX775" t="s">
        <v>74</v>
      </c>
      <c r="AY775" t="s">
        <v>74</v>
      </c>
      <c r="AZ775" t="s">
        <v>74</v>
      </c>
      <c r="BA775" t="s">
        <v>74</v>
      </c>
      <c r="BB775">
        <v>751</v>
      </c>
      <c r="BC775">
        <v>756</v>
      </c>
      <c r="BD775" t="s">
        <v>74</v>
      </c>
      <c r="BE775" t="s">
        <v>10352</v>
      </c>
      <c r="BF775" t="str">
        <f>HYPERLINK("http://dx.doi.org/10.1016/S1251-8050(98)80239-5","http://dx.doi.org/10.1016/S1251-8050(98)80239-5")</f>
        <v>http://dx.doi.org/10.1016/S1251-8050(98)80239-5</v>
      </c>
      <c r="BG775" t="s">
        <v>74</v>
      </c>
      <c r="BH775" t="s">
        <v>74</v>
      </c>
      <c r="BI775">
        <v>6</v>
      </c>
      <c r="BJ775" t="s">
        <v>192</v>
      </c>
      <c r="BK775" t="s">
        <v>95</v>
      </c>
      <c r="BL775" t="s">
        <v>193</v>
      </c>
      <c r="BM775" t="s">
        <v>10353</v>
      </c>
      <c r="BN775" t="s">
        <v>74</v>
      </c>
      <c r="BO775" t="s">
        <v>74</v>
      </c>
      <c r="BP775" t="s">
        <v>74</v>
      </c>
      <c r="BQ775" t="s">
        <v>74</v>
      </c>
      <c r="BR775" t="s">
        <v>98</v>
      </c>
      <c r="BS775" t="s">
        <v>10354</v>
      </c>
      <c r="BT775" t="str">
        <f>HYPERLINK("https%3A%2F%2Fwww.webofscience.com%2Fwos%2Fwoscc%2Ffull-record%2FWOS:000074984000001","View Full Record in Web of Science")</f>
        <v>View Full Record in Web of Science</v>
      </c>
    </row>
    <row r="776" spans="1:72" x14ac:dyDescent="0.15">
      <c r="A776" t="s">
        <v>72</v>
      </c>
      <c r="B776" t="s">
        <v>10355</v>
      </c>
      <c r="C776" t="s">
        <v>74</v>
      </c>
      <c r="D776" t="s">
        <v>74</v>
      </c>
      <c r="E776" t="s">
        <v>74</v>
      </c>
      <c r="F776" t="s">
        <v>10355</v>
      </c>
      <c r="G776" t="s">
        <v>74</v>
      </c>
      <c r="H776" t="s">
        <v>74</v>
      </c>
      <c r="I776" t="s">
        <v>10356</v>
      </c>
      <c r="J776" t="s">
        <v>7377</v>
      </c>
      <c r="K776" t="s">
        <v>74</v>
      </c>
      <c r="L776" t="s">
        <v>74</v>
      </c>
      <c r="M776" t="s">
        <v>77</v>
      </c>
      <c r="N776" t="s">
        <v>103</v>
      </c>
      <c r="O776" t="s">
        <v>74</v>
      </c>
      <c r="P776" t="s">
        <v>74</v>
      </c>
      <c r="Q776" t="s">
        <v>74</v>
      </c>
      <c r="R776" t="s">
        <v>74</v>
      </c>
      <c r="S776" t="s">
        <v>74</v>
      </c>
      <c r="T776" t="s">
        <v>10357</v>
      </c>
      <c r="U776" t="s">
        <v>10358</v>
      </c>
      <c r="V776" t="s">
        <v>10359</v>
      </c>
      <c r="W776" t="s">
        <v>10360</v>
      </c>
      <c r="X776" t="s">
        <v>10361</v>
      </c>
      <c r="Y776" t="s">
        <v>4522</v>
      </c>
      <c r="Z776" t="s">
        <v>74</v>
      </c>
      <c r="AA776" t="s">
        <v>74</v>
      </c>
      <c r="AB776" t="s">
        <v>4523</v>
      </c>
      <c r="AC776" t="s">
        <v>74</v>
      </c>
      <c r="AD776" t="s">
        <v>74</v>
      </c>
      <c r="AE776" t="s">
        <v>74</v>
      </c>
      <c r="AF776" t="s">
        <v>74</v>
      </c>
      <c r="AG776">
        <v>18</v>
      </c>
      <c r="AH776">
        <v>12</v>
      </c>
      <c r="AI776">
        <v>14</v>
      </c>
      <c r="AJ776">
        <v>0</v>
      </c>
      <c r="AK776">
        <v>4</v>
      </c>
      <c r="AL776" t="s">
        <v>4142</v>
      </c>
      <c r="AM776" t="s">
        <v>1101</v>
      </c>
      <c r="AN776" t="s">
        <v>4143</v>
      </c>
      <c r="AO776" t="s">
        <v>7381</v>
      </c>
      <c r="AP776" t="s">
        <v>74</v>
      </c>
      <c r="AQ776" t="s">
        <v>74</v>
      </c>
      <c r="AR776" t="s">
        <v>7377</v>
      </c>
      <c r="AS776" t="s">
        <v>7382</v>
      </c>
      <c r="AT776" t="s">
        <v>10131</v>
      </c>
      <c r="AU776">
        <v>1998</v>
      </c>
      <c r="AV776">
        <v>36</v>
      </c>
      <c r="AW776">
        <v>4</v>
      </c>
      <c r="AX776" t="s">
        <v>74</v>
      </c>
      <c r="AY776" t="s">
        <v>74</v>
      </c>
      <c r="AZ776" t="s">
        <v>74</v>
      </c>
      <c r="BA776" t="s">
        <v>74</v>
      </c>
      <c r="BB776">
        <v>279</v>
      </c>
      <c r="BC776">
        <v>286</v>
      </c>
      <c r="BD776" t="s">
        <v>74</v>
      </c>
      <c r="BE776" t="s">
        <v>10362</v>
      </c>
      <c r="BF776" t="str">
        <f>HYPERLINK("http://dx.doi.org/10.1006/cryo.1998.2087","http://dx.doi.org/10.1006/cryo.1998.2087")</f>
        <v>http://dx.doi.org/10.1006/cryo.1998.2087</v>
      </c>
      <c r="BG776" t="s">
        <v>74</v>
      </c>
      <c r="BH776" t="s">
        <v>74</v>
      </c>
      <c r="BI776">
        <v>8</v>
      </c>
      <c r="BJ776" t="s">
        <v>7384</v>
      </c>
      <c r="BK776" t="s">
        <v>95</v>
      </c>
      <c r="BL776" t="s">
        <v>7385</v>
      </c>
      <c r="BM776" t="s">
        <v>10363</v>
      </c>
      <c r="BN776" t="s">
        <v>74</v>
      </c>
      <c r="BO776" t="s">
        <v>74</v>
      </c>
      <c r="BP776" t="s">
        <v>74</v>
      </c>
      <c r="BQ776" t="s">
        <v>74</v>
      </c>
      <c r="BR776" t="s">
        <v>98</v>
      </c>
      <c r="BS776" t="s">
        <v>10364</v>
      </c>
      <c r="BT776" t="str">
        <f>HYPERLINK("https%3A%2F%2Fwww.webofscience.com%2Fwos%2Fwoscc%2Ffull-record%2FWOS:000074275400004","View Full Record in Web of Science")</f>
        <v>View Full Record in Web of Science</v>
      </c>
    </row>
    <row r="777" spans="1:72" x14ac:dyDescent="0.15">
      <c r="A777" t="s">
        <v>72</v>
      </c>
      <c r="B777" t="s">
        <v>10365</v>
      </c>
      <c r="C777" t="s">
        <v>74</v>
      </c>
      <c r="D777" t="s">
        <v>74</v>
      </c>
      <c r="E777" t="s">
        <v>74</v>
      </c>
      <c r="F777" t="s">
        <v>10365</v>
      </c>
      <c r="G777" t="s">
        <v>74</v>
      </c>
      <c r="H777" t="s">
        <v>74</v>
      </c>
      <c r="I777" t="s">
        <v>10366</v>
      </c>
      <c r="J777" t="s">
        <v>6280</v>
      </c>
      <c r="K777" t="s">
        <v>74</v>
      </c>
      <c r="L777" t="s">
        <v>74</v>
      </c>
      <c r="M777" t="s">
        <v>77</v>
      </c>
      <c r="N777" t="s">
        <v>103</v>
      </c>
      <c r="O777" t="s">
        <v>74</v>
      </c>
      <c r="P777" t="s">
        <v>74</v>
      </c>
      <c r="Q777" t="s">
        <v>74</v>
      </c>
      <c r="R777" t="s">
        <v>74</v>
      </c>
      <c r="S777" t="s">
        <v>74</v>
      </c>
      <c r="T777" t="s">
        <v>74</v>
      </c>
      <c r="U777" t="s">
        <v>10367</v>
      </c>
      <c r="V777" t="s">
        <v>10368</v>
      </c>
      <c r="W777" t="s">
        <v>10369</v>
      </c>
      <c r="X777" t="s">
        <v>10370</v>
      </c>
      <c r="Y777" t="s">
        <v>10371</v>
      </c>
      <c r="Z777" t="s">
        <v>10372</v>
      </c>
      <c r="AA777" t="s">
        <v>10373</v>
      </c>
      <c r="AB777" t="s">
        <v>10374</v>
      </c>
      <c r="AC777" t="s">
        <v>74</v>
      </c>
      <c r="AD777" t="s">
        <v>74</v>
      </c>
      <c r="AE777" t="s">
        <v>74</v>
      </c>
      <c r="AF777" t="s">
        <v>74</v>
      </c>
      <c r="AG777">
        <v>61</v>
      </c>
      <c r="AH777">
        <v>87</v>
      </c>
      <c r="AI777">
        <v>91</v>
      </c>
      <c r="AJ777">
        <v>1</v>
      </c>
      <c r="AK777">
        <v>13</v>
      </c>
      <c r="AL777" t="s">
        <v>445</v>
      </c>
      <c r="AM777" t="s">
        <v>229</v>
      </c>
      <c r="AN777" t="s">
        <v>446</v>
      </c>
      <c r="AO777" t="s">
        <v>6289</v>
      </c>
      <c r="AP777" t="s">
        <v>74</v>
      </c>
      <c r="AQ777" t="s">
        <v>74</v>
      </c>
      <c r="AR777" t="s">
        <v>6291</v>
      </c>
      <c r="AS777" t="s">
        <v>6292</v>
      </c>
      <c r="AT777" t="s">
        <v>10131</v>
      </c>
      <c r="AU777">
        <v>1998</v>
      </c>
      <c r="AV777">
        <v>45</v>
      </c>
      <c r="AW777">
        <v>6</v>
      </c>
      <c r="AX777" t="s">
        <v>74</v>
      </c>
      <c r="AY777" t="s">
        <v>74</v>
      </c>
      <c r="AZ777" t="s">
        <v>74</v>
      </c>
      <c r="BA777" t="s">
        <v>74</v>
      </c>
      <c r="BB777">
        <v>829</v>
      </c>
      <c r="BC777">
        <v>872</v>
      </c>
      <c r="BD777" t="s">
        <v>74</v>
      </c>
      <c r="BE777" t="s">
        <v>10375</v>
      </c>
      <c r="BF777" t="str">
        <f>HYPERLINK("http://dx.doi.org/10.1016/S0967-0637(98)00001-6","http://dx.doi.org/10.1016/S0967-0637(98)00001-6")</f>
        <v>http://dx.doi.org/10.1016/S0967-0637(98)00001-6</v>
      </c>
      <c r="BG777" t="s">
        <v>74</v>
      </c>
      <c r="BH777" t="s">
        <v>74</v>
      </c>
      <c r="BI777">
        <v>44</v>
      </c>
      <c r="BJ777" t="s">
        <v>451</v>
      </c>
      <c r="BK777" t="s">
        <v>95</v>
      </c>
      <c r="BL777" t="s">
        <v>451</v>
      </c>
      <c r="BM777" t="s">
        <v>10376</v>
      </c>
      <c r="BN777" t="s">
        <v>74</v>
      </c>
      <c r="BO777" t="s">
        <v>74</v>
      </c>
      <c r="BP777" t="s">
        <v>74</v>
      </c>
      <c r="BQ777" t="s">
        <v>74</v>
      </c>
      <c r="BR777" t="s">
        <v>98</v>
      </c>
      <c r="BS777" t="s">
        <v>10377</v>
      </c>
      <c r="BT777" t="str">
        <f>HYPERLINK("https%3A%2F%2Fwww.webofscience.com%2Fwos%2Fwoscc%2Ffull-record%2FWOS:000074983900001","View Full Record in Web of Science")</f>
        <v>View Full Record in Web of Science</v>
      </c>
    </row>
    <row r="778" spans="1:72" x14ac:dyDescent="0.15">
      <c r="A778" t="s">
        <v>72</v>
      </c>
      <c r="B778" t="s">
        <v>10378</v>
      </c>
      <c r="C778" t="s">
        <v>74</v>
      </c>
      <c r="D778" t="s">
        <v>74</v>
      </c>
      <c r="E778" t="s">
        <v>74</v>
      </c>
      <c r="F778" t="s">
        <v>10378</v>
      </c>
      <c r="G778" t="s">
        <v>74</v>
      </c>
      <c r="H778" t="s">
        <v>74</v>
      </c>
      <c r="I778" t="s">
        <v>10379</v>
      </c>
      <c r="J778" t="s">
        <v>6280</v>
      </c>
      <c r="K778" t="s">
        <v>74</v>
      </c>
      <c r="L778" t="s">
        <v>74</v>
      </c>
      <c r="M778" t="s">
        <v>77</v>
      </c>
      <c r="N778" t="s">
        <v>103</v>
      </c>
      <c r="O778" t="s">
        <v>74</v>
      </c>
      <c r="P778" t="s">
        <v>74</v>
      </c>
      <c r="Q778" t="s">
        <v>74</v>
      </c>
      <c r="R778" t="s">
        <v>74</v>
      </c>
      <c r="S778" t="s">
        <v>74</v>
      </c>
      <c r="T778" t="s">
        <v>74</v>
      </c>
      <c r="U778" t="s">
        <v>10380</v>
      </c>
      <c r="V778" t="s">
        <v>10381</v>
      </c>
      <c r="W778" t="s">
        <v>10382</v>
      </c>
      <c r="X778" t="s">
        <v>10383</v>
      </c>
      <c r="Y778" t="s">
        <v>10384</v>
      </c>
      <c r="Z778" t="s">
        <v>10385</v>
      </c>
      <c r="AA778" t="s">
        <v>10386</v>
      </c>
      <c r="AB778" t="s">
        <v>10387</v>
      </c>
      <c r="AC778" t="s">
        <v>74</v>
      </c>
      <c r="AD778" t="s">
        <v>74</v>
      </c>
      <c r="AE778" t="s">
        <v>74</v>
      </c>
      <c r="AF778" t="s">
        <v>74</v>
      </c>
      <c r="AG778">
        <v>48</v>
      </c>
      <c r="AH778">
        <v>39</v>
      </c>
      <c r="AI778">
        <v>39</v>
      </c>
      <c r="AJ778">
        <v>0</v>
      </c>
      <c r="AK778">
        <v>8</v>
      </c>
      <c r="AL778" t="s">
        <v>445</v>
      </c>
      <c r="AM778" t="s">
        <v>229</v>
      </c>
      <c r="AN778" t="s">
        <v>446</v>
      </c>
      <c r="AO778" t="s">
        <v>6289</v>
      </c>
      <c r="AP778" t="s">
        <v>74</v>
      </c>
      <c r="AQ778" t="s">
        <v>74</v>
      </c>
      <c r="AR778" t="s">
        <v>6291</v>
      </c>
      <c r="AS778" t="s">
        <v>6292</v>
      </c>
      <c r="AT778" t="s">
        <v>10131</v>
      </c>
      <c r="AU778">
        <v>1998</v>
      </c>
      <c r="AV778">
        <v>45</v>
      </c>
      <c r="AW778">
        <v>6</v>
      </c>
      <c r="AX778" t="s">
        <v>74</v>
      </c>
      <c r="AY778" t="s">
        <v>74</v>
      </c>
      <c r="AZ778" t="s">
        <v>74</v>
      </c>
      <c r="BA778" t="s">
        <v>74</v>
      </c>
      <c r="BB778">
        <v>873</v>
      </c>
      <c r="BC778">
        <v>902</v>
      </c>
      <c r="BD778" t="s">
        <v>74</v>
      </c>
      <c r="BE778" t="s">
        <v>10388</v>
      </c>
      <c r="BF778" t="str">
        <f>HYPERLINK("http://dx.doi.org/10.1016/S0967-0637(98)00002-8","http://dx.doi.org/10.1016/S0967-0637(98)00002-8")</f>
        <v>http://dx.doi.org/10.1016/S0967-0637(98)00002-8</v>
      </c>
      <c r="BG778" t="s">
        <v>74</v>
      </c>
      <c r="BH778" t="s">
        <v>74</v>
      </c>
      <c r="BI778">
        <v>30</v>
      </c>
      <c r="BJ778" t="s">
        <v>451</v>
      </c>
      <c r="BK778" t="s">
        <v>95</v>
      </c>
      <c r="BL778" t="s">
        <v>451</v>
      </c>
      <c r="BM778" t="s">
        <v>10376</v>
      </c>
      <c r="BN778" t="s">
        <v>74</v>
      </c>
      <c r="BO778" t="s">
        <v>74</v>
      </c>
      <c r="BP778" t="s">
        <v>74</v>
      </c>
      <c r="BQ778" t="s">
        <v>74</v>
      </c>
      <c r="BR778" t="s">
        <v>98</v>
      </c>
      <c r="BS778" t="s">
        <v>10389</v>
      </c>
      <c r="BT778" t="str">
        <f>HYPERLINK("https%3A%2F%2Fwww.webofscience.com%2Fwos%2Fwoscc%2Ffull-record%2FWOS:000074983900002","View Full Record in Web of Science")</f>
        <v>View Full Record in Web of Science</v>
      </c>
    </row>
    <row r="779" spans="1:72" x14ac:dyDescent="0.15">
      <c r="A779" t="s">
        <v>72</v>
      </c>
      <c r="B779" t="s">
        <v>10390</v>
      </c>
      <c r="C779" t="s">
        <v>74</v>
      </c>
      <c r="D779" t="s">
        <v>74</v>
      </c>
      <c r="E779" t="s">
        <v>74</v>
      </c>
      <c r="F779" t="s">
        <v>10390</v>
      </c>
      <c r="G779" t="s">
        <v>74</v>
      </c>
      <c r="H779" t="s">
        <v>74</v>
      </c>
      <c r="I779" t="s">
        <v>10391</v>
      </c>
      <c r="J779" t="s">
        <v>6280</v>
      </c>
      <c r="K779" t="s">
        <v>74</v>
      </c>
      <c r="L779" t="s">
        <v>74</v>
      </c>
      <c r="M779" t="s">
        <v>77</v>
      </c>
      <c r="N779" t="s">
        <v>103</v>
      </c>
      <c r="O779" t="s">
        <v>74</v>
      </c>
      <c r="P779" t="s">
        <v>74</v>
      </c>
      <c r="Q779" t="s">
        <v>74</v>
      </c>
      <c r="R779" t="s">
        <v>74</v>
      </c>
      <c r="S779" t="s">
        <v>74</v>
      </c>
      <c r="T779" t="s">
        <v>74</v>
      </c>
      <c r="U779" t="s">
        <v>10392</v>
      </c>
      <c r="V779" t="s">
        <v>10393</v>
      </c>
      <c r="W779" t="s">
        <v>10394</v>
      </c>
      <c r="X779" t="s">
        <v>10395</v>
      </c>
      <c r="Y779" t="s">
        <v>10396</v>
      </c>
      <c r="Z779" t="s">
        <v>74</v>
      </c>
      <c r="AA779" t="s">
        <v>10397</v>
      </c>
      <c r="AB779" t="s">
        <v>10398</v>
      </c>
      <c r="AC779" t="s">
        <v>74</v>
      </c>
      <c r="AD779" t="s">
        <v>74</v>
      </c>
      <c r="AE779" t="s">
        <v>74</v>
      </c>
      <c r="AF779" t="s">
        <v>74</v>
      </c>
      <c r="AG779">
        <v>60</v>
      </c>
      <c r="AH779">
        <v>41</v>
      </c>
      <c r="AI779">
        <v>42</v>
      </c>
      <c r="AJ779">
        <v>0</v>
      </c>
      <c r="AK779">
        <v>2</v>
      </c>
      <c r="AL779" t="s">
        <v>445</v>
      </c>
      <c r="AM779" t="s">
        <v>229</v>
      </c>
      <c r="AN779" t="s">
        <v>446</v>
      </c>
      <c r="AO779" t="s">
        <v>6289</v>
      </c>
      <c r="AP779" t="s">
        <v>74</v>
      </c>
      <c r="AQ779" t="s">
        <v>74</v>
      </c>
      <c r="AR779" t="s">
        <v>6291</v>
      </c>
      <c r="AS779" t="s">
        <v>6292</v>
      </c>
      <c r="AT779" t="s">
        <v>10131</v>
      </c>
      <c r="AU779">
        <v>1998</v>
      </c>
      <c r="AV779">
        <v>45</v>
      </c>
      <c r="AW779">
        <v>6</v>
      </c>
      <c r="AX779" t="s">
        <v>74</v>
      </c>
      <c r="AY779" t="s">
        <v>74</v>
      </c>
      <c r="AZ779" t="s">
        <v>74</v>
      </c>
      <c r="BA779" t="s">
        <v>74</v>
      </c>
      <c r="BB779">
        <v>903</v>
      </c>
      <c r="BC779" t="s">
        <v>3164</v>
      </c>
      <c r="BD779" t="s">
        <v>74</v>
      </c>
      <c r="BE779" t="s">
        <v>10399</v>
      </c>
      <c r="BF779" t="str">
        <f>HYPERLINK("http://dx.doi.org/10.1016/S0967-0637(98)00003-X","http://dx.doi.org/10.1016/S0967-0637(98)00003-X")</f>
        <v>http://dx.doi.org/10.1016/S0967-0637(98)00003-X</v>
      </c>
      <c r="BG779" t="s">
        <v>74</v>
      </c>
      <c r="BH779" t="s">
        <v>74</v>
      </c>
      <c r="BI779">
        <v>27</v>
      </c>
      <c r="BJ779" t="s">
        <v>451</v>
      </c>
      <c r="BK779" t="s">
        <v>95</v>
      </c>
      <c r="BL779" t="s">
        <v>451</v>
      </c>
      <c r="BM779" t="s">
        <v>10376</v>
      </c>
      <c r="BN779" t="s">
        <v>74</v>
      </c>
      <c r="BO779" t="s">
        <v>74</v>
      </c>
      <c r="BP779" t="s">
        <v>74</v>
      </c>
      <c r="BQ779" t="s">
        <v>74</v>
      </c>
      <c r="BR779" t="s">
        <v>98</v>
      </c>
      <c r="BS779" t="s">
        <v>10400</v>
      </c>
      <c r="BT779" t="str">
        <f>HYPERLINK("https%3A%2F%2Fwww.webofscience.com%2Fwos%2Fwoscc%2Ffull-record%2FWOS:000074983900003","View Full Record in Web of Science")</f>
        <v>View Full Record in Web of Science</v>
      </c>
    </row>
    <row r="780" spans="1:72" x14ac:dyDescent="0.15">
      <c r="A780" t="s">
        <v>72</v>
      </c>
      <c r="B780" t="s">
        <v>10401</v>
      </c>
      <c r="C780" t="s">
        <v>74</v>
      </c>
      <c r="D780" t="s">
        <v>74</v>
      </c>
      <c r="E780" t="s">
        <v>74</v>
      </c>
      <c r="F780" t="s">
        <v>10401</v>
      </c>
      <c r="G780" t="s">
        <v>74</v>
      </c>
      <c r="H780" t="s">
        <v>74</v>
      </c>
      <c r="I780" t="s">
        <v>10402</v>
      </c>
      <c r="J780" t="s">
        <v>10403</v>
      </c>
      <c r="K780" t="s">
        <v>74</v>
      </c>
      <c r="L780" t="s">
        <v>74</v>
      </c>
      <c r="M780" t="s">
        <v>77</v>
      </c>
      <c r="N780" t="s">
        <v>103</v>
      </c>
      <c r="O780" t="s">
        <v>74</v>
      </c>
      <c r="P780" t="s">
        <v>74</v>
      </c>
      <c r="Q780" t="s">
        <v>74</v>
      </c>
      <c r="R780" t="s">
        <v>74</v>
      </c>
      <c r="S780" t="s">
        <v>74</v>
      </c>
      <c r="T780" t="s">
        <v>10404</v>
      </c>
      <c r="U780" t="s">
        <v>10405</v>
      </c>
      <c r="V780" t="s">
        <v>10406</v>
      </c>
      <c r="W780" t="s">
        <v>10407</v>
      </c>
      <c r="X780" t="s">
        <v>10408</v>
      </c>
      <c r="Y780" t="s">
        <v>10409</v>
      </c>
      <c r="Z780" t="s">
        <v>74</v>
      </c>
      <c r="AA780" t="s">
        <v>10410</v>
      </c>
      <c r="AB780" t="s">
        <v>10411</v>
      </c>
      <c r="AC780" t="s">
        <v>74</v>
      </c>
      <c r="AD780" t="s">
        <v>74</v>
      </c>
      <c r="AE780" t="s">
        <v>74</v>
      </c>
      <c r="AF780" t="s">
        <v>74</v>
      </c>
      <c r="AG780">
        <v>51</v>
      </c>
      <c r="AH780">
        <v>20</v>
      </c>
      <c r="AI780">
        <v>22</v>
      </c>
      <c r="AJ780">
        <v>2</v>
      </c>
      <c r="AK780">
        <v>8</v>
      </c>
      <c r="AL780" t="s">
        <v>1368</v>
      </c>
      <c r="AM780" t="s">
        <v>866</v>
      </c>
      <c r="AN780" t="s">
        <v>1369</v>
      </c>
      <c r="AO780" t="s">
        <v>10412</v>
      </c>
      <c r="AP780" t="s">
        <v>74</v>
      </c>
      <c r="AQ780" t="s">
        <v>74</v>
      </c>
      <c r="AR780" t="s">
        <v>10403</v>
      </c>
      <c r="AS780" t="s">
        <v>10413</v>
      </c>
      <c r="AT780" t="s">
        <v>10131</v>
      </c>
      <c r="AU780">
        <v>1998</v>
      </c>
      <c r="AV780">
        <v>7</v>
      </c>
      <c r="AW780">
        <v>3</v>
      </c>
      <c r="AX780" t="s">
        <v>74</v>
      </c>
      <c r="AY780" t="s">
        <v>74</v>
      </c>
      <c r="AZ780" t="s">
        <v>74</v>
      </c>
      <c r="BA780" t="s">
        <v>74</v>
      </c>
      <c r="BB780">
        <v>161</v>
      </c>
      <c r="BC780">
        <v>173</v>
      </c>
      <c r="BD780" t="s">
        <v>74</v>
      </c>
      <c r="BE780" t="s">
        <v>10414</v>
      </c>
      <c r="BF780" t="str">
        <f>HYPERLINK("http://dx.doi.org/10.1023/A:1014356327595","http://dx.doi.org/10.1023/A:1014356327595")</f>
        <v>http://dx.doi.org/10.1023/A:1014356327595</v>
      </c>
      <c r="BG780" t="s">
        <v>74</v>
      </c>
      <c r="BH780" t="s">
        <v>74</v>
      </c>
      <c r="BI780">
        <v>13</v>
      </c>
      <c r="BJ780" t="s">
        <v>10415</v>
      </c>
      <c r="BK780" t="s">
        <v>95</v>
      </c>
      <c r="BL780" t="s">
        <v>10416</v>
      </c>
      <c r="BM780" t="s">
        <v>10417</v>
      </c>
      <c r="BN780" t="s">
        <v>74</v>
      </c>
      <c r="BO780" t="s">
        <v>74</v>
      </c>
      <c r="BP780" t="s">
        <v>74</v>
      </c>
      <c r="BQ780" t="s">
        <v>74</v>
      </c>
      <c r="BR780" t="s">
        <v>98</v>
      </c>
      <c r="BS780" t="s">
        <v>10418</v>
      </c>
      <c r="BT780" t="str">
        <f>HYPERLINK("https%3A%2F%2Fwww.webofscience.com%2Fwos%2Fwoscc%2Ffull-record%2FWOS:000073626200005","View Full Record in Web of Science")</f>
        <v>View Full Record in Web of Science</v>
      </c>
    </row>
    <row r="781" spans="1:72" x14ac:dyDescent="0.15">
      <c r="A781" t="s">
        <v>72</v>
      </c>
      <c r="B781" t="s">
        <v>10419</v>
      </c>
      <c r="C781" t="s">
        <v>74</v>
      </c>
      <c r="D781" t="s">
        <v>74</v>
      </c>
      <c r="E781" t="s">
        <v>74</v>
      </c>
      <c r="F781" t="s">
        <v>10419</v>
      </c>
      <c r="G781" t="s">
        <v>74</v>
      </c>
      <c r="H781" t="s">
        <v>74</v>
      </c>
      <c r="I781" t="s">
        <v>10420</v>
      </c>
      <c r="J781" t="s">
        <v>10421</v>
      </c>
      <c r="K781" t="s">
        <v>74</v>
      </c>
      <c r="L781" t="s">
        <v>74</v>
      </c>
      <c r="M781" t="s">
        <v>77</v>
      </c>
      <c r="N781" t="s">
        <v>103</v>
      </c>
      <c r="O781" t="s">
        <v>74</v>
      </c>
      <c r="P781" t="s">
        <v>74</v>
      </c>
      <c r="Q781" t="s">
        <v>74</v>
      </c>
      <c r="R781" t="s">
        <v>74</v>
      </c>
      <c r="S781" t="s">
        <v>74</v>
      </c>
      <c r="T781" t="s">
        <v>10422</v>
      </c>
      <c r="U781" t="s">
        <v>10423</v>
      </c>
      <c r="V781" t="s">
        <v>10424</v>
      </c>
      <c r="W781" t="s">
        <v>10425</v>
      </c>
      <c r="X781" t="s">
        <v>10426</v>
      </c>
      <c r="Y781" t="s">
        <v>10427</v>
      </c>
      <c r="Z781" t="s">
        <v>74</v>
      </c>
      <c r="AA781" t="s">
        <v>10428</v>
      </c>
      <c r="AB781" t="s">
        <v>10429</v>
      </c>
      <c r="AC781" t="s">
        <v>74</v>
      </c>
      <c r="AD781" t="s">
        <v>74</v>
      </c>
      <c r="AE781" t="s">
        <v>74</v>
      </c>
      <c r="AF781" t="s">
        <v>74</v>
      </c>
      <c r="AG781">
        <v>34</v>
      </c>
      <c r="AH781">
        <v>49</v>
      </c>
      <c r="AI781">
        <v>60</v>
      </c>
      <c r="AJ781">
        <v>0</v>
      </c>
      <c r="AK781">
        <v>10</v>
      </c>
      <c r="AL781" t="s">
        <v>655</v>
      </c>
      <c r="AM781" t="s">
        <v>656</v>
      </c>
      <c r="AN781" t="s">
        <v>657</v>
      </c>
      <c r="AO781" t="s">
        <v>10430</v>
      </c>
      <c r="AP781" t="s">
        <v>74</v>
      </c>
      <c r="AQ781" t="s">
        <v>74</v>
      </c>
      <c r="AR781" t="s">
        <v>10431</v>
      </c>
      <c r="AS781" t="s">
        <v>10432</v>
      </c>
      <c r="AT781" t="s">
        <v>10291</v>
      </c>
      <c r="AU781">
        <v>1998</v>
      </c>
      <c r="AV781">
        <v>254</v>
      </c>
      <c r="AW781">
        <v>2</v>
      </c>
      <c r="AX781" t="s">
        <v>74</v>
      </c>
      <c r="AY781" t="s">
        <v>74</v>
      </c>
      <c r="AZ781" t="s">
        <v>74</v>
      </c>
      <c r="BA781" t="s">
        <v>74</v>
      </c>
      <c r="BB781">
        <v>356</v>
      </c>
      <c r="BC781">
        <v>362</v>
      </c>
      <c r="BD781" t="s">
        <v>74</v>
      </c>
      <c r="BE781" t="s">
        <v>10433</v>
      </c>
      <c r="BF781" t="str">
        <f>HYPERLINK("http://dx.doi.org/10.1046/j.1432-1327.1998.2540356.x","http://dx.doi.org/10.1046/j.1432-1327.1998.2540356.x")</f>
        <v>http://dx.doi.org/10.1046/j.1432-1327.1998.2540356.x</v>
      </c>
      <c r="BG781" t="s">
        <v>74</v>
      </c>
      <c r="BH781" t="s">
        <v>74</v>
      </c>
      <c r="BI781">
        <v>7</v>
      </c>
      <c r="BJ781" t="s">
        <v>3744</v>
      </c>
      <c r="BK781" t="s">
        <v>95</v>
      </c>
      <c r="BL781" t="s">
        <v>3744</v>
      </c>
      <c r="BM781" t="s">
        <v>10434</v>
      </c>
      <c r="BN781">
        <v>9660191</v>
      </c>
      <c r="BO781" t="s">
        <v>74</v>
      </c>
      <c r="BP781" t="s">
        <v>74</v>
      </c>
      <c r="BQ781" t="s">
        <v>74</v>
      </c>
      <c r="BR781" t="s">
        <v>98</v>
      </c>
      <c r="BS781" t="s">
        <v>10435</v>
      </c>
      <c r="BT781" t="str">
        <f>HYPERLINK("https%3A%2F%2Fwww.webofscience.com%2Fwos%2Fwoscc%2Ffull-record%2FWOS:000074158900020","View Full Record in Web of Science")</f>
        <v>View Full Record in Web of Science</v>
      </c>
    </row>
    <row r="782" spans="1:72" x14ac:dyDescent="0.15">
      <c r="A782" t="s">
        <v>72</v>
      </c>
      <c r="B782" t="s">
        <v>10436</v>
      </c>
      <c r="C782" t="s">
        <v>74</v>
      </c>
      <c r="D782" t="s">
        <v>74</v>
      </c>
      <c r="E782" t="s">
        <v>74</v>
      </c>
      <c r="F782" t="s">
        <v>10436</v>
      </c>
      <c r="G782" t="s">
        <v>74</v>
      </c>
      <c r="H782" t="s">
        <v>74</v>
      </c>
      <c r="I782" t="s">
        <v>10437</v>
      </c>
      <c r="J782" t="s">
        <v>6327</v>
      </c>
      <c r="K782" t="s">
        <v>74</v>
      </c>
      <c r="L782" t="s">
        <v>74</v>
      </c>
      <c r="M782" t="s">
        <v>77</v>
      </c>
      <c r="N782" t="s">
        <v>103</v>
      </c>
      <c r="O782" t="s">
        <v>74</v>
      </c>
      <c r="P782" t="s">
        <v>74</v>
      </c>
      <c r="Q782" t="s">
        <v>74</v>
      </c>
      <c r="R782" t="s">
        <v>74</v>
      </c>
      <c r="S782" t="s">
        <v>74</v>
      </c>
      <c r="T782" t="s">
        <v>10438</v>
      </c>
      <c r="U782" t="s">
        <v>10439</v>
      </c>
      <c r="V782" t="s">
        <v>10440</v>
      </c>
      <c r="W782" t="s">
        <v>10441</v>
      </c>
      <c r="X782" t="s">
        <v>10442</v>
      </c>
      <c r="Y782" t="s">
        <v>10443</v>
      </c>
      <c r="Z782" t="s">
        <v>74</v>
      </c>
      <c r="AA782" t="s">
        <v>74</v>
      </c>
      <c r="AB782" t="s">
        <v>74</v>
      </c>
      <c r="AC782" t="s">
        <v>74</v>
      </c>
      <c r="AD782" t="s">
        <v>74</v>
      </c>
      <c r="AE782" t="s">
        <v>74</v>
      </c>
      <c r="AF782" t="s">
        <v>74</v>
      </c>
      <c r="AG782">
        <v>38</v>
      </c>
      <c r="AH782">
        <v>54</v>
      </c>
      <c r="AI782">
        <v>60</v>
      </c>
      <c r="AJ782">
        <v>0</v>
      </c>
      <c r="AK782">
        <v>13</v>
      </c>
      <c r="AL782" t="s">
        <v>1368</v>
      </c>
      <c r="AM782" t="s">
        <v>866</v>
      </c>
      <c r="AN782" t="s">
        <v>1369</v>
      </c>
      <c r="AO782" t="s">
        <v>6334</v>
      </c>
      <c r="AP782" t="s">
        <v>74</v>
      </c>
      <c r="AQ782" t="s">
        <v>74</v>
      </c>
      <c r="AR782" t="s">
        <v>6335</v>
      </c>
      <c r="AS782" t="s">
        <v>6336</v>
      </c>
      <c r="AT782" t="s">
        <v>10131</v>
      </c>
      <c r="AU782">
        <v>1998</v>
      </c>
      <c r="AV782">
        <v>18</v>
      </c>
      <c r="AW782">
        <v>4</v>
      </c>
      <c r="AX782" t="s">
        <v>74</v>
      </c>
      <c r="AY782" t="s">
        <v>74</v>
      </c>
      <c r="AZ782" t="s">
        <v>74</v>
      </c>
      <c r="BA782" t="s">
        <v>74</v>
      </c>
      <c r="BB782">
        <v>387</v>
      </c>
      <c r="BC782">
        <v>398</v>
      </c>
      <c r="BD782" t="s">
        <v>74</v>
      </c>
      <c r="BE782" t="s">
        <v>10444</v>
      </c>
      <c r="BF782" t="str">
        <f>HYPERLINK("http://dx.doi.org/10.1023/A:1007778728627","http://dx.doi.org/10.1023/A:1007778728627")</f>
        <v>http://dx.doi.org/10.1023/A:1007778728627</v>
      </c>
      <c r="BG782" t="s">
        <v>74</v>
      </c>
      <c r="BH782" t="s">
        <v>74</v>
      </c>
      <c r="BI782">
        <v>12</v>
      </c>
      <c r="BJ782" t="s">
        <v>6338</v>
      </c>
      <c r="BK782" t="s">
        <v>95</v>
      </c>
      <c r="BL782" t="s">
        <v>6338</v>
      </c>
      <c r="BM782" t="s">
        <v>10445</v>
      </c>
      <c r="BN782" t="s">
        <v>74</v>
      </c>
      <c r="BO782" t="s">
        <v>74</v>
      </c>
      <c r="BP782" t="s">
        <v>74</v>
      </c>
      <c r="BQ782" t="s">
        <v>74</v>
      </c>
      <c r="BR782" t="s">
        <v>98</v>
      </c>
      <c r="BS782" t="s">
        <v>10446</v>
      </c>
      <c r="BT782" t="str">
        <f>HYPERLINK("https%3A%2F%2Fwww.webofscience.com%2Fwos%2Fwoscc%2Ffull-record%2FWOS:000074847800008","View Full Record in Web of Science")</f>
        <v>View Full Record in Web of Science</v>
      </c>
    </row>
    <row r="783" spans="1:72" x14ac:dyDescent="0.15">
      <c r="A783" t="s">
        <v>72</v>
      </c>
      <c r="B783" t="s">
        <v>10447</v>
      </c>
      <c r="C783" t="s">
        <v>74</v>
      </c>
      <c r="D783" t="s">
        <v>74</v>
      </c>
      <c r="E783" t="s">
        <v>74</v>
      </c>
      <c r="F783" t="s">
        <v>10447</v>
      </c>
      <c r="G783" t="s">
        <v>74</v>
      </c>
      <c r="H783" t="s">
        <v>74</v>
      </c>
      <c r="I783" t="s">
        <v>10448</v>
      </c>
      <c r="J783" t="s">
        <v>7439</v>
      </c>
      <c r="K783" t="s">
        <v>74</v>
      </c>
      <c r="L783" t="s">
        <v>74</v>
      </c>
      <c r="M783" t="s">
        <v>77</v>
      </c>
      <c r="N783" t="s">
        <v>103</v>
      </c>
      <c r="O783" t="s">
        <v>74</v>
      </c>
      <c r="P783" t="s">
        <v>74</v>
      </c>
      <c r="Q783" t="s">
        <v>74</v>
      </c>
      <c r="R783" t="s">
        <v>74</v>
      </c>
      <c r="S783" t="s">
        <v>74</v>
      </c>
      <c r="T783" t="s">
        <v>10449</v>
      </c>
      <c r="U783" t="s">
        <v>10450</v>
      </c>
      <c r="V783" t="s">
        <v>10451</v>
      </c>
      <c r="W783" t="s">
        <v>10452</v>
      </c>
      <c r="X783" t="s">
        <v>10453</v>
      </c>
      <c r="Y783" t="s">
        <v>10454</v>
      </c>
      <c r="Z783" t="s">
        <v>10455</v>
      </c>
      <c r="AA783" t="s">
        <v>74</v>
      </c>
      <c r="AB783" t="s">
        <v>74</v>
      </c>
      <c r="AC783" t="s">
        <v>74</v>
      </c>
      <c r="AD783" t="s">
        <v>74</v>
      </c>
      <c r="AE783" t="s">
        <v>74</v>
      </c>
      <c r="AF783" t="s">
        <v>74</v>
      </c>
      <c r="AG783">
        <v>37</v>
      </c>
      <c r="AH783">
        <v>36</v>
      </c>
      <c r="AI783">
        <v>40</v>
      </c>
      <c r="AJ783">
        <v>1</v>
      </c>
      <c r="AK783">
        <v>7</v>
      </c>
      <c r="AL783" t="s">
        <v>928</v>
      </c>
      <c r="AM783" t="s">
        <v>929</v>
      </c>
      <c r="AN783" t="s">
        <v>930</v>
      </c>
      <c r="AO783" t="s">
        <v>7447</v>
      </c>
      <c r="AP783" t="s">
        <v>74</v>
      </c>
      <c r="AQ783" t="s">
        <v>74</v>
      </c>
      <c r="AR783" t="s">
        <v>7449</v>
      </c>
      <c r="AS783" t="s">
        <v>7450</v>
      </c>
      <c r="AT783" t="s">
        <v>10131</v>
      </c>
      <c r="AU783">
        <v>1998</v>
      </c>
      <c r="AV783">
        <v>7</v>
      </c>
      <c r="AW783">
        <v>2</v>
      </c>
      <c r="AX783" t="s">
        <v>74</v>
      </c>
      <c r="AY783" t="s">
        <v>74</v>
      </c>
      <c r="AZ783" t="s">
        <v>74</v>
      </c>
      <c r="BA783" t="s">
        <v>74</v>
      </c>
      <c r="BB783">
        <v>89</v>
      </c>
      <c r="BC783">
        <v>100</v>
      </c>
      <c r="BD783" t="s">
        <v>74</v>
      </c>
      <c r="BE783" t="s">
        <v>10456</v>
      </c>
      <c r="BF783" t="str">
        <f>HYPERLINK("http://dx.doi.org/10.1046/j.1365-2419.1998.00055.x","http://dx.doi.org/10.1046/j.1365-2419.1998.00055.x")</f>
        <v>http://dx.doi.org/10.1046/j.1365-2419.1998.00055.x</v>
      </c>
      <c r="BG783" t="s">
        <v>74</v>
      </c>
      <c r="BH783" t="s">
        <v>74</v>
      </c>
      <c r="BI783">
        <v>12</v>
      </c>
      <c r="BJ783" t="s">
        <v>7453</v>
      </c>
      <c r="BK783" t="s">
        <v>95</v>
      </c>
      <c r="BL783" t="s">
        <v>7453</v>
      </c>
      <c r="BM783" t="s">
        <v>10457</v>
      </c>
      <c r="BN783" t="s">
        <v>74</v>
      </c>
      <c r="BO783" t="s">
        <v>74</v>
      </c>
      <c r="BP783" t="s">
        <v>74</v>
      </c>
      <c r="BQ783" t="s">
        <v>74</v>
      </c>
      <c r="BR783" t="s">
        <v>98</v>
      </c>
      <c r="BS783" t="s">
        <v>10458</v>
      </c>
      <c r="BT783" t="str">
        <f>HYPERLINK("https%3A%2F%2Fwww.webofscience.com%2Fwos%2Fwoscc%2Ffull-record%2FWOS:000075695200002","View Full Record in Web of Science")</f>
        <v>View Full Record in Web of Science</v>
      </c>
    </row>
    <row r="784" spans="1:72" x14ac:dyDescent="0.15">
      <c r="A784" t="s">
        <v>72</v>
      </c>
      <c r="B784" t="s">
        <v>10459</v>
      </c>
      <c r="C784" t="s">
        <v>74</v>
      </c>
      <c r="D784" t="s">
        <v>74</v>
      </c>
      <c r="E784" t="s">
        <v>74</v>
      </c>
      <c r="F784" t="s">
        <v>10459</v>
      </c>
      <c r="G784" t="s">
        <v>74</v>
      </c>
      <c r="H784" t="s">
        <v>74</v>
      </c>
      <c r="I784" t="s">
        <v>10460</v>
      </c>
      <c r="J784" t="s">
        <v>10461</v>
      </c>
      <c r="K784" t="s">
        <v>74</v>
      </c>
      <c r="L784" t="s">
        <v>74</v>
      </c>
      <c r="M784" t="s">
        <v>77</v>
      </c>
      <c r="N784" t="s">
        <v>103</v>
      </c>
      <c r="O784" t="s">
        <v>74</v>
      </c>
      <c r="P784" t="s">
        <v>74</v>
      </c>
      <c r="Q784" t="s">
        <v>74</v>
      </c>
      <c r="R784" t="s">
        <v>74</v>
      </c>
      <c r="S784" t="s">
        <v>74</v>
      </c>
      <c r="T784" t="s">
        <v>74</v>
      </c>
      <c r="U784" t="s">
        <v>10462</v>
      </c>
      <c r="V784" t="s">
        <v>10463</v>
      </c>
      <c r="W784" t="s">
        <v>10464</v>
      </c>
      <c r="X784" t="s">
        <v>10465</v>
      </c>
      <c r="Y784" t="s">
        <v>10048</v>
      </c>
      <c r="Z784" t="s">
        <v>10466</v>
      </c>
      <c r="AA784" t="s">
        <v>10467</v>
      </c>
      <c r="AB784" t="s">
        <v>10468</v>
      </c>
      <c r="AC784" t="s">
        <v>74</v>
      </c>
      <c r="AD784" t="s">
        <v>74</v>
      </c>
      <c r="AE784" t="s">
        <v>74</v>
      </c>
      <c r="AF784" t="s">
        <v>74</v>
      </c>
      <c r="AG784">
        <v>55</v>
      </c>
      <c r="AH784">
        <v>133</v>
      </c>
      <c r="AI784">
        <v>140</v>
      </c>
      <c r="AJ784">
        <v>0</v>
      </c>
      <c r="AK784">
        <v>17</v>
      </c>
      <c r="AL784" t="s">
        <v>966</v>
      </c>
      <c r="AM784" t="s">
        <v>967</v>
      </c>
      <c r="AN784" t="s">
        <v>968</v>
      </c>
      <c r="AO784" t="s">
        <v>10469</v>
      </c>
      <c r="AP784" t="s">
        <v>10470</v>
      </c>
      <c r="AQ784" t="s">
        <v>74</v>
      </c>
      <c r="AR784" t="s">
        <v>10471</v>
      </c>
      <c r="AS784" t="s">
        <v>10472</v>
      </c>
      <c r="AT784" t="s">
        <v>10131</v>
      </c>
      <c r="AU784">
        <v>1998</v>
      </c>
      <c r="AV784">
        <v>12</v>
      </c>
      <c r="AW784">
        <v>2</v>
      </c>
      <c r="AX784" t="s">
        <v>74</v>
      </c>
      <c r="AY784" t="s">
        <v>74</v>
      </c>
      <c r="AZ784" t="s">
        <v>74</v>
      </c>
      <c r="BA784" t="s">
        <v>74</v>
      </c>
      <c r="BB784">
        <v>213</v>
      </c>
      <c r="BC784">
        <v>230</v>
      </c>
      <c r="BD784" t="s">
        <v>74</v>
      </c>
      <c r="BE784" t="s">
        <v>10473</v>
      </c>
      <c r="BF784" t="str">
        <f>HYPERLINK("http://dx.doi.org/10.1029/97GB03500","http://dx.doi.org/10.1029/97GB03500")</f>
        <v>http://dx.doi.org/10.1029/97GB03500</v>
      </c>
      <c r="BG784" t="s">
        <v>74</v>
      </c>
      <c r="BH784" t="s">
        <v>74</v>
      </c>
      <c r="BI784">
        <v>18</v>
      </c>
      <c r="BJ784" t="s">
        <v>10474</v>
      </c>
      <c r="BK784" t="s">
        <v>95</v>
      </c>
      <c r="BL784" t="s">
        <v>10475</v>
      </c>
      <c r="BM784" t="s">
        <v>10476</v>
      </c>
      <c r="BN784" t="s">
        <v>74</v>
      </c>
      <c r="BO784" t="s">
        <v>74</v>
      </c>
      <c r="BP784" t="s">
        <v>74</v>
      </c>
      <c r="BQ784" t="s">
        <v>74</v>
      </c>
      <c r="BR784" t="s">
        <v>98</v>
      </c>
      <c r="BS784" t="s">
        <v>10477</v>
      </c>
      <c r="BT784" t="str">
        <f>HYPERLINK("https%3A%2F%2Fwww.webofscience.com%2Fwos%2Fwoscc%2Ffull-record%2FWOS:000074010500001","View Full Record in Web of Science")</f>
        <v>View Full Record in Web of Science</v>
      </c>
    </row>
    <row r="785" spans="1:72" x14ac:dyDescent="0.15">
      <c r="A785" t="s">
        <v>72</v>
      </c>
      <c r="B785" t="s">
        <v>10478</v>
      </c>
      <c r="C785" t="s">
        <v>74</v>
      </c>
      <c r="D785" t="s">
        <v>74</v>
      </c>
      <c r="E785" t="s">
        <v>74</v>
      </c>
      <c r="F785" t="s">
        <v>10478</v>
      </c>
      <c r="G785" t="s">
        <v>74</v>
      </c>
      <c r="H785" t="s">
        <v>74</v>
      </c>
      <c r="I785" t="s">
        <v>10479</v>
      </c>
      <c r="J785" t="s">
        <v>10480</v>
      </c>
      <c r="K785" t="s">
        <v>74</v>
      </c>
      <c r="L785" t="s">
        <v>74</v>
      </c>
      <c r="M785" t="s">
        <v>77</v>
      </c>
      <c r="N785" t="s">
        <v>103</v>
      </c>
      <c r="O785" t="s">
        <v>74</v>
      </c>
      <c r="P785" t="s">
        <v>74</v>
      </c>
      <c r="Q785" t="s">
        <v>74</v>
      </c>
      <c r="R785" t="s">
        <v>74</v>
      </c>
      <c r="S785" t="s">
        <v>74</v>
      </c>
      <c r="T785" t="s">
        <v>74</v>
      </c>
      <c r="U785" t="s">
        <v>10481</v>
      </c>
      <c r="V785" t="s">
        <v>74</v>
      </c>
      <c r="W785" t="s">
        <v>10482</v>
      </c>
      <c r="X785" t="s">
        <v>10483</v>
      </c>
      <c r="Y785" t="s">
        <v>10484</v>
      </c>
      <c r="Z785" t="s">
        <v>74</v>
      </c>
      <c r="AA785" t="s">
        <v>10485</v>
      </c>
      <c r="AB785" t="s">
        <v>10486</v>
      </c>
      <c r="AC785" t="s">
        <v>74</v>
      </c>
      <c r="AD785" t="s">
        <v>74</v>
      </c>
      <c r="AE785" t="s">
        <v>74</v>
      </c>
      <c r="AF785" t="s">
        <v>74</v>
      </c>
      <c r="AG785">
        <v>56</v>
      </c>
      <c r="AH785">
        <v>9</v>
      </c>
      <c r="AI785">
        <v>11</v>
      </c>
      <c r="AJ785">
        <v>0</v>
      </c>
      <c r="AK785">
        <v>5</v>
      </c>
      <c r="AL785" t="s">
        <v>10487</v>
      </c>
      <c r="AM785" t="s">
        <v>10488</v>
      </c>
      <c r="AN785" t="s">
        <v>10489</v>
      </c>
      <c r="AO785" t="s">
        <v>10490</v>
      </c>
      <c r="AP785" t="s">
        <v>74</v>
      </c>
      <c r="AQ785" t="s">
        <v>74</v>
      </c>
      <c r="AR785" t="s">
        <v>10491</v>
      </c>
      <c r="AS785" t="s">
        <v>10492</v>
      </c>
      <c r="AT785" t="s">
        <v>10493</v>
      </c>
      <c r="AU785">
        <v>1998</v>
      </c>
      <c r="AV785">
        <v>10</v>
      </c>
      <c r="AW785">
        <v>3</v>
      </c>
      <c r="AX785" t="s">
        <v>74</v>
      </c>
      <c r="AY785" t="s">
        <v>74</v>
      </c>
      <c r="AZ785" t="s">
        <v>74</v>
      </c>
      <c r="BA785" t="s">
        <v>74</v>
      </c>
      <c r="BB785">
        <v>147</v>
      </c>
      <c r="BC785">
        <v>172</v>
      </c>
      <c r="BD785" t="s">
        <v>74</v>
      </c>
      <c r="BE785" t="s">
        <v>74</v>
      </c>
      <c r="BF785" t="s">
        <v>74</v>
      </c>
      <c r="BG785" t="s">
        <v>74</v>
      </c>
      <c r="BH785" t="s">
        <v>74</v>
      </c>
      <c r="BI785">
        <v>26</v>
      </c>
      <c r="BJ785" t="s">
        <v>6255</v>
      </c>
      <c r="BK785" t="s">
        <v>10494</v>
      </c>
      <c r="BL785" t="s">
        <v>661</v>
      </c>
      <c r="BM785" t="s">
        <v>10495</v>
      </c>
      <c r="BN785" t="s">
        <v>74</v>
      </c>
      <c r="BO785" t="s">
        <v>74</v>
      </c>
      <c r="BP785" t="s">
        <v>74</v>
      </c>
      <c r="BQ785" t="s">
        <v>74</v>
      </c>
      <c r="BR785" t="s">
        <v>98</v>
      </c>
      <c r="BS785" t="s">
        <v>10496</v>
      </c>
      <c r="BT785" t="str">
        <f>HYPERLINK("https%3A%2F%2Fwww.webofscience.com%2Fwos%2Fwoscc%2Ffull-record%2FWOS:000078680600001","View Full Record in Web of Science")</f>
        <v>View Full Record in Web of Science</v>
      </c>
    </row>
    <row r="786" spans="1:72" x14ac:dyDescent="0.15">
      <c r="A786" t="s">
        <v>72</v>
      </c>
      <c r="B786" t="s">
        <v>10497</v>
      </c>
      <c r="C786" t="s">
        <v>74</v>
      </c>
      <c r="D786" t="s">
        <v>74</v>
      </c>
      <c r="E786" t="s">
        <v>74</v>
      </c>
      <c r="F786" t="s">
        <v>10497</v>
      </c>
      <c r="G786" t="s">
        <v>74</v>
      </c>
      <c r="H786" t="s">
        <v>74</v>
      </c>
      <c r="I786" t="s">
        <v>10498</v>
      </c>
      <c r="J786" t="s">
        <v>10499</v>
      </c>
      <c r="K786" t="s">
        <v>74</v>
      </c>
      <c r="L786" t="s">
        <v>74</v>
      </c>
      <c r="M786" t="s">
        <v>77</v>
      </c>
      <c r="N786" t="s">
        <v>103</v>
      </c>
      <c r="O786" t="s">
        <v>74</v>
      </c>
      <c r="P786" t="s">
        <v>74</v>
      </c>
      <c r="Q786" t="s">
        <v>74</v>
      </c>
      <c r="R786" t="s">
        <v>74</v>
      </c>
      <c r="S786" t="s">
        <v>74</v>
      </c>
      <c r="T786" t="s">
        <v>74</v>
      </c>
      <c r="U786" t="s">
        <v>10500</v>
      </c>
      <c r="V786" t="s">
        <v>10501</v>
      </c>
      <c r="W786" t="s">
        <v>10502</v>
      </c>
      <c r="X786" t="s">
        <v>1931</v>
      </c>
      <c r="Y786" t="s">
        <v>10503</v>
      </c>
      <c r="Z786" t="s">
        <v>10504</v>
      </c>
      <c r="AA786" t="s">
        <v>10505</v>
      </c>
      <c r="AB786" t="s">
        <v>10506</v>
      </c>
      <c r="AC786" t="s">
        <v>74</v>
      </c>
      <c r="AD786" t="s">
        <v>74</v>
      </c>
      <c r="AE786" t="s">
        <v>74</v>
      </c>
      <c r="AF786" t="s">
        <v>74</v>
      </c>
      <c r="AG786">
        <v>71</v>
      </c>
      <c r="AH786">
        <v>32</v>
      </c>
      <c r="AI786">
        <v>32</v>
      </c>
      <c r="AJ786">
        <v>0</v>
      </c>
      <c r="AK786">
        <v>15</v>
      </c>
      <c r="AL786" t="s">
        <v>655</v>
      </c>
      <c r="AM786" t="s">
        <v>656</v>
      </c>
      <c r="AN786" t="s">
        <v>657</v>
      </c>
      <c r="AO786" t="s">
        <v>10507</v>
      </c>
      <c r="AP786" t="s">
        <v>10508</v>
      </c>
      <c r="AQ786" t="s">
        <v>74</v>
      </c>
      <c r="AR786" t="s">
        <v>10509</v>
      </c>
      <c r="AS786" t="s">
        <v>10510</v>
      </c>
      <c r="AT786" t="s">
        <v>10131</v>
      </c>
      <c r="AU786">
        <v>1998</v>
      </c>
      <c r="AV786">
        <v>29</v>
      </c>
      <c r="AW786">
        <v>2</v>
      </c>
      <c r="AX786" t="s">
        <v>74</v>
      </c>
      <c r="AY786" t="s">
        <v>74</v>
      </c>
      <c r="AZ786" t="s">
        <v>74</v>
      </c>
      <c r="BA786" t="s">
        <v>74</v>
      </c>
      <c r="BB786">
        <v>161</v>
      </c>
      <c r="BC786">
        <v>171</v>
      </c>
      <c r="BD786" t="s">
        <v>74</v>
      </c>
      <c r="BE786" t="s">
        <v>10511</v>
      </c>
      <c r="BF786" t="str">
        <f>HYPERLINK("http://dx.doi.org/10.2307/3677194","http://dx.doi.org/10.2307/3677194")</f>
        <v>http://dx.doi.org/10.2307/3677194</v>
      </c>
      <c r="BG786" t="s">
        <v>74</v>
      </c>
      <c r="BH786" t="s">
        <v>74</v>
      </c>
      <c r="BI786">
        <v>11</v>
      </c>
      <c r="BJ786" t="s">
        <v>3526</v>
      </c>
      <c r="BK786" t="s">
        <v>95</v>
      </c>
      <c r="BL786" t="s">
        <v>117</v>
      </c>
      <c r="BM786" t="s">
        <v>10512</v>
      </c>
      <c r="BN786" t="s">
        <v>74</v>
      </c>
      <c r="BO786" t="s">
        <v>74</v>
      </c>
      <c r="BP786" t="s">
        <v>74</v>
      </c>
      <c r="BQ786" t="s">
        <v>74</v>
      </c>
      <c r="BR786" t="s">
        <v>98</v>
      </c>
      <c r="BS786" t="s">
        <v>10513</v>
      </c>
      <c r="BT786" t="str">
        <f>HYPERLINK("https%3A%2F%2Fwww.webofscience.com%2Fwos%2Fwoscc%2Ffull-record%2FWOS:000074304200009","View Full Record in Web of Science")</f>
        <v>View Full Record in Web of Science</v>
      </c>
    </row>
    <row r="787" spans="1:72" x14ac:dyDescent="0.15">
      <c r="A787" t="s">
        <v>72</v>
      </c>
      <c r="B787" t="s">
        <v>10514</v>
      </c>
      <c r="C787" t="s">
        <v>74</v>
      </c>
      <c r="D787" t="s">
        <v>74</v>
      </c>
      <c r="E787" t="s">
        <v>74</v>
      </c>
      <c r="F787" t="s">
        <v>10514</v>
      </c>
      <c r="G787" t="s">
        <v>74</v>
      </c>
      <c r="H787" t="s">
        <v>74</v>
      </c>
      <c r="I787" t="s">
        <v>10515</v>
      </c>
      <c r="J787" t="s">
        <v>1406</v>
      </c>
      <c r="K787" t="s">
        <v>74</v>
      </c>
      <c r="L787" t="s">
        <v>74</v>
      </c>
      <c r="M787" t="s">
        <v>77</v>
      </c>
      <c r="N787" t="s">
        <v>103</v>
      </c>
      <c r="O787" t="s">
        <v>74</v>
      </c>
      <c r="P787" t="s">
        <v>74</v>
      </c>
      <c r="Q787" t="s">
        <v>74</v>
      </c>
      <c r="R787" t="s">
        <v>74</v>
      </c>
      <c r="S787" t="s">
        <v>74</v>
      </c>
      <c r="T787" t="s">
        <v>74</v>
      </c>
      <c r="U787" t="s">
        <v>10516</v>
      </c>
      <c r="V787" t="s">
        <v>10517</v>
      </c>
      <c r="W787" t="s">
        <v>10518</v>
      </c>
      <c r="X787" t="s">
        <v>10519</v>
      </c>
      <c r="Y787" t="s">
        <v>10520</v>
      </c>
      <c r="Z787" t="s">
        <v>74</v>
      </c>
      <c r="AA787" t="s">
        <v>10521</v>
      </c>
      <c r="AB787" t="s">
        <v>74</v>
      </c>
      <c r="AC787" t="s">
        <v>74</v>
      </c>
      <c r="AD787" t="s">
        <v>74</v>
      </c>
      <c r="AE787" t="s">
        <v>74</v>
      </c>
      <c r="AF787" t="s">
        <v>74</v>
      </c>
      <c r="AG787">
        <v>44</v>
      </c>
      <c r="AH787">
        <v>44</v>
      </c>
      <c r="AI787">
        <v>47</v>
      </c>
      <c r="AJ787">
        <v>0</v>
      </c>
      <c r="AK787">
        <v>1</v>
      </c>
      <c r="AL787" t="s">
        <v>1344</v>
      </c>
      <c r="AM787" t="s">
        <v>1345</v>
      </c>
      <c r="AN787" t="s">
        <v>1346</v>
      </c>
      <c r="AO787" t="s">
        <v>1414</v>
      </c>
      <c r="AP787" t="s">
        <v>74</v>
      </c>
      <c r="AQ787" t="s">
        <v>74</v>
      </c>
      <c r="AR787" t="s">
        <v>1415</v>
      </c>
      <c r="AS787" t="s">
        <v>1416</v>
      </c>
      <c r="AT787" t="s">
        <v>10131</v>
      </c>
      <c r="AU787">
        <v>1998</v>
      </c>
      <c r="AV787">
        <v>11</v>
      </c>
      <c r="AW787">
        <v>6</v>
      </c>
      <c r="AX787" t="s">
        <v>74</v>
      </c>
      <c r="AY787" t="s">
        <v>74</v>
      </c>
      <c r="AZ787" t="s">
        <v>74</v>
      </c>
      <c r="BA787" t="s">
        <v>74</v>
      </c>
      <c r="BB787">
        <v>1246</v>
      </c>
      <c r="BC787">
        <v>1269</v>
      </c>
      <c r="BD787" t="s">
        <v>74</v>
      </c>
      <c r="BE787" t="s">
        <v>10522</v>
      </c>
      <c r="BF787" t="str">
        <f>HYPERLINK("http://dx.doi.org/10.1175/1520-0442(1998)011&lt;1246:PRBOTN&gt;2.0.CO;2","http://dx.doi.org/10.1175/1520-0442(1998)011&lt;1246:PRBOTN&gt;2.0.CO;2")</f>
        <v>http://dx.doi.org/10.1175/1520-0442(1998)011&lt;1246:PRBOTN&gt;2.0.CO;2</v>
      </c>
      <c r="BG787" t="s">
        <v>74</v>
      </c>
      <c r="BH787" t="s">
        <v>74</v>
      </c>
      <c r="BI787">
        <v>24</v>
      </c>
      <c r="BJ787" t="s">
        <v>1418</v>
      </c>
      <c r="BK787" t="s">
        <v>95</v>
      </c>
      <c r="BL787" t="s">
        <v>1418</v>
      </c>
      <c r="BM787" t="s">
        <v>10523</v>
      </c>
      <c r="BN787" t="s">
        <v>74</v>
      </c>
      <c r="BO787" t="s">
        <v>1429</v>
      </c>
      <c r="BP787" t="s">
        <v>74</v>
      </c>
      <c r="BQ787" t="s">
        <v>74</v>
      </c>
      <c r="BR787" t="s">
        <v>98</v>
      </c>
      <c r="BS787" t="s">
        <v>10524</v>
      </c>
      <c r="BT787" t="str">
        <f>HYPERLINK("https%3A%2F%2Fwww.webofscience.com%2Fwos%2Fwoscc%2Ffull-record%2FWOS:000073857500008","View Full Record in Web of Science")</f>
        <v>View Full Record in Web of Science</v>
      </c>
    </row>
    <row r="788" spans="1:72" x14ac:dyDescent="0.15">
      <c r="A788" t="s">
        <v>72</v>
      </c>
      <c r="B788" t="s">
        <v>10514</v>
      </c>
      <c r="C788" t="s">
        <v>74</v>
      </c>
      <c r="D788" t="s">
        <v>74</v>
      </c>
      <c r="E788" t="s">
        <v>74</v>
      </c>
      <c r="F788" t="s">
        <v>10514</v>
      </c>
      <c r="G788" t="s">
        <v>74</v>
      </c>
      <c r="H788" t="s">
        <v>74</v>
      </c>
      <c r="I788" t="s">
        <v>10525</v>
      </c>
      <c r="J788" t="s">
        <v>1406</v>
      </c>
      <c r="K788" t="s">
        <v>74</v>
      </c>
      <c r="L788" t="s">
        <v>74</v>
      </c>
      <c r="M788" t="s">
        <v>77</v>
      </c>
      <c r="N788" t="s">
        <v>103</v>
      </c>
      <c r="O788" t="s">
        <v>74</v>
      </c>
      <c r="P788" t="s">
        <v>74</v>
      </c>
      <c r="Q788" t="s">
        <v>74</v>
      </c>
      <c r="R788" t="s">
        <v>74</v>
      </c>
      <c r="S788" t="s">
        <v>74</v>
      </c>
      <c r="T788" t="s">
        <v>74</v>
      </c>
      <c r="U788" t="s">
        <v>10526</v>
      </c>
      <c r="V788" t="s">
        <v>10527</v>
      </c>
      <c r="W788" t="s">
        <v>10528</v>
      </c>
      <c r="X788" t="s">
        <v>10529</v>
      </c>
      <c r="Y788" t="s">
        <v>10520</v>
      </c>
      <c r="Z788" t="s">
        <v>74</v>
      </c>
      <c r="AA788" t="s">
        <v>10521</v>
      </c>
      <c r="AB788" t="s">
        <v>74</v>
      </c>
      <c r="AC788" t="s">
        <v>74</v>
      </c>
      <c r="AD788" t="s">
        <v>74</v>
      </c>
      <c r="AE788" t="s">
        <v>74</v>
      </c>
      <c r="AF788" t="s">
        <v>74</v>
      </c>
      <c r="AG788">
        <v>43</v>
      </c>
      <c r="AH788">
        <v>42</v>
      </c>
      <c r="AI788">
        <v>45</v>
      </c>
      <c r="AJ788">
        <v>0</v>
      </c>
      <c r="AK788">
        <v>2</v>
      </c>
      <c r="AL788" t="s">
        <v>1344</v>
      </c>
      <c r="AM788" t="s">
        <v>1345</v>
      </c>
      <c r="AN788" t="s">
        <v>1346</v>
      </c>
      <c r="AO788" t="s">
        <v>1414</v>
      </c>
      <c r="AP788" t="s">
        <v>74</v>
      </c>
      <c r="AQ788" t="s">
        <v>74</v>
      </c>
      <c r="AR788" t="s">
        <v>1415</v>
      </c>
      <c r="AS788" t="s">
        <v>1416</v>
      </c>
      <c r="AT788" t="s">
        <v>10131</v>
      </c>
      <c r="AU788">
        <v>1998</v>
      </c>
      <c r="AV788">
        <v>11</v>
      </c>
      <c r="AW788">
        <v>6</v>
      </c>
      <c r="AX788" t="s">
        <v>74</v>
      </c>
      <c r="AY788" t="s">
        <v>74</v>
      </c>
      <c r="AZ788" t="s">
        <v>74</v>
      </c>
      <c r="BA788" t="s">
        <v>74</v>
      </c>
      <c r="BB788">
        <v>1270</v>
      </c>
      <c r="BC788">
        <v>1286</v>
      </c>
      <c r="BD788" t="s">
        <v>74</v>
      </c>
      <c r="BE788" t="s">
        <v>10530</v>
      </c>
      <c r="BF788" t="str">
        <f>HYPERLINK("http://dx.doi.org/10.1175/1520-0442(1998)011&lt;1270:PCSOTN&gt;2.0.CO;2","http://dx.doi.org/10.1175/1520-0442(1998)011&lt;1270:PCSOTN&gt;2.0.CO;2")</f>
        <v>http://dx.doi.org/10.1175/1520-0442(1998)011&lt;1270:PCSOTN&gt;2.0.CO;2</v>
      </c>
      <c r="BG788" t="s">
        <v>74</v>
      </c>
      <c r="BH788" t="s">
        <v>74</v>
      </c>
      <c r="BI788">
        <v>17</v>
      </c>
      <c r="BJ788" t="s">
        <v>1418</v>
      </c>
      <c r="BK788" t="s">
        <v>95</v>
      </c>
      <c r="BL788" t="s">
        <v>1418</v>
      </c>
      <c r="BM788" t="s">
        <v>10523</v>
      </c>
      <c r="BN788" t="s">
        <v>74</v>
      </c>
      <c r="BO788" t="s">
        <v>1429</v>
      </c>
      <c r="BP788" t="s">
        <v>74</v>
      </c>
      <c r="BQ788" t="s">
        <v>74</v>
      </c>
      <c r="BR788" t="s">
        <v>98</v>
      </c>
      <c r="BS788" t="s">
        <v>10531</v>
      </c>
      <c r="BT788" t="str">
        <f>HYPERLINK("https%3A%2F%2Fwww.webofscience.com%2Fwos%2Fwoscc%2Ffull-record%2FWOS:000073857500009","View Full Record in Web of Science")</f>
        <v>View Full Record in Web of Science</v>
      </c>
    </row>
    <row r="789" spans="1:72" x14ac:dyDescent="0.15">
      <c r="A789" t="s">
        <v>72</v>
      </c>
      <c r="B789" t="s">
        <v>10532</v>
      </c>
      <c r="C789" t="s">
        <v>74</v>
      </c>
      <c r="D789" t="s">
        <v>74</v>
      </c>
      <c r="E789" t="s">
        <v>74</v>
      </c>
      <c r="F789" t="s">
        <v>10532</v>
      </c>
      <c r="G789" t="s">
        <v>74</v>
      </c>
      <c r="H789" t="s">
        <v>74</v>
      </c>
      <c r="I789" t="s">
        <v>10533</v>
      </c>
      <c r="J789" t="s">
        <v>1406</v>
      </c>
      <c r="K789" t="s">
        <v>74</v>
      </c>
      <c r="L789" t="s">
        <v>74</v>
      </c>
      <c r="M789" t="s">
        <v>77</v>
      </c>
      <c r="N789" t="s">
        <v>103</v>
      </c>
      <c r="O789" t="s">
        <v>74</v>
      </c>
      <c r="P789" t="s">
        <v>74</v>
      </c>
      <c r="Q789" t="s">
        <v>74</v>
      </c>
      <c r="R789" t="s">
        <v>74</v>
      </c>
      <c r="S789" t="s">
        <v>74</v>
      </c>
      <c r="T789" t="s">
        <v>74</v>
      </c>
      <c r="U789" t="s">
        <v>10534</v>
      </c>
      <c r="V789" t="s">
        <v>10535</v>
      </c>
      <c r="W789" t="s">
        <v>10536</v>
      </c>
      <c r="X789" t="s">
        <v>10537</v>
      </c>
      <c r="Y789" t="s">
        <v>10538</v>
      </c>
      <c r="Z789" t="s">
        <v>10539</v>
      </c>
      <c r="AA789" t="s">
        <v>74</v>
      </c>
      <c r="AB789" t="s">
        <v>74</v>
      </c>
      <c r="AC789" t="s">
        <v>74</v>
      </c>
      <c r="AD789" t="s">
        <v>74</v>
      </c>
      <c r="AE789" t="s">
        <v>74</v>
      </c>
      <c r="AF789" t="s">
        <v>74</v>
      </c>
      <c r="AG789">
        <v>27</v>
      </c>
      <c r="AH789">
        <v>13</v>
      </c>
      <c r="AI789">
        <v>15</v>
      </c>
      <c r="AJ789">
        <v>0</v>
      </c>
      <c r="AK789">
        <v>5</v>
      </c>
      <c r="AL789" t="s">
        <v>1344</v>
      </c>
      <c r="AM789" t="s">
        <v>1345</v>
      </c>
      <c r="AN789" t="s">
        <v>1346</v>
      </c>
      <c r="AO789" t="s">
        <v>1414</v>
      </c>
      <c r="AP789" t="s">
        <v>74</v>
      </c>
      <c r="AQ789" t="s">
        <v>74</v>
      </c>
      <c r="AR789" t="s">
        <v>1415</v>
      </c>
      <c r="AS789" t="s">
        <v>1416</v>
      </c>
      <c r="AT789" t="s">
        <v>10131</v>
      </c>
      <c r="AU789">
        <v>1998</v>
      </c>
      <c r="AV789">
        <v>11</v>
      </c>
      <c r="AW789">
        <v>6</v>
      </c>
      <c r="AX789" t="s">
        <v>74</v>
      </c>
      <c r="AY789" t="s">
        <v>74</v>
      </c>
      <c r="AZ789" t="s">
        <v>74</v>
      </c>
      <c r="BA789" t="s">
        <v>74</v>
      </c>
      <c r="BB789">
        <v>1405</v>
      </c>
      <c r="BC789">
        <v>1418</v>
      </c>
      <c r="BD789" t="s">
        <v>74</v>
      </c>
      <c r="BE789" t="s">
        <v>10540</v>
      </c>
      <c r="BF789" t="str">
        <f>HYPERLINK("http://dx.doi.org/10.1175/1520-0442(1998)011&lt;1405:QSWITS&gt;2.0.CO;2","http://dx.doi.org/10.1175/1520-0442(1998)011&lt;1405:QSWITS&gt;2.0.CO;2")</f>
        <v>http://dx.doi.org/10.1175/1520-0442(1998)011&lt;1405:QSWITS&gt;2.0.CO;2</v>
      </c>
      <c r="BG789" t="s">
        <v>74</v>
      </c>
      <c r="BH789" t="s">
        <v>74</v>
      </c>
      <c r="BI789">
        <v>14</v>
      </c>
      <c r="BJ789" t="s">
        <v>1418</v>
      </c>
      <c r="BK789" t="s">
        <v>95</v>
      </c>
      <c r="BL789" t="s">
        <v>1418</v>
      </c>
      <c r="BM789" t="s">
        <v>10523</v>
      </c>
      <c r="BN789" t="s">
        <v>74</v>
      </c>
      <c r="BO789" t="s">
        <v>1429</v>
      </c>
      <c r="BP789" t="s">
        <v>74</v>
      </c>
      <c r="BQ789" t="s">
        <v>74</v>
      </c>
      <c r="BR789" t="s">
        <v>98</v>
      </c>
      <c r="BS789" t="s">
        <v>10541</v>
      </c>
      <c r="BT789" t="str">
        <f>HYPERLINK("https%3A%2F%2Fwww.webofscience.com%2Fwos%2Fwoscc%2Ffull-record%2FWOS:000073857500016","View Full Record in Web of Science")</f>
        <v>View Full Record in Web of Science</v>
      </c>
    </row>
    <row r="790" spans="1:72" x14ac:dyDescent="0.15">
      <c r="A790" t="s">
        <v>72</v>
      </c>
      <c r="B790" t="s">
        <v>10542</v>
      </c>
      <c r="C790" t="s">
        <v>74</v>
      </c>
      <c r="D790" t="s">
        <v>74</v>
      </c>
      <c r="E790" t="s">
        <v>74</v>
      </c>
      <c r="F790" t="s">
        <v>10542</v>
      </c>
      <c r="G790" t="s">
        <v>74</v>
      </c>
      <c r="H790" t="s">
        <v>74</v>
      </c>
      <c r="I790" t="s">
        <v>10543</v>
      </c>
      <c r="J790" t="s">
        <v>1406</v>
      </c>
      <c r="K790" t="s">
        <v>74</v>
      </c>
      <c r="L790" t="s">
        <v>74</v>
      </c>
      <c r="M790" t="s">
        <v>77</v>
      </c>
      <c r="N790" t="s">
        <v>103</v>
      </c>
      <c r="O790" t="s">
        <v>74</v>
      </c>
      <c r="P790" t="s">
        <v>74</v>
      </c>
      <c r="Q790" t="s">
        <v>74</v>
      </c>
      <c r="R790" t="s">
        <v>74</v>
      </c>
      <c r="S790" t="s">
        <v>74</v>
      </c>
      <c r="T790" t="s">
        <v>74</v>
      </c>
      <c r="U790" t="s">
        <v>10544</v>
      </c>
      <c r="V790" t="s">
        <v>10545</v>
      </c>
      <c r="W790" t="s">
        <v>10518</v>
      </c>
      <c r="X790" t="s">
        <v>10519</v>
      </c>
      <c r="Y790" t="s">
        <v>10546</v>
      </c>
      <c r="Z790" t="s">
        <v>74</v>
      </c>
      <c r="AA790" t="s">
        <v>10547</v>
      </c>
      <c r="AB790" t="s">
        <v>10548</v>
      </c>
      <c r="AC790" t="s">
        <v>74</v>
      </c>
      <c r="AD790" t="s">
        <v>74</v>
      </c>
      <c r="AE790" t="s">
        <v>74</v>
      </c>
      <c r="AF790" t="s">
        <v>74</v>
      </c>
      <c r="AG790">
        <v>50</v>
      </c>
      <c r="AH790">
        <v>67</v>
      </c>
      <c r="AI790">
        <v>69</v>
      </c>
      <c r="AJ790">
        <v>0</v>
      </c>
      <c r="AK790">
        <v>5</v>
      </c>
      <c r="AL790" t="s">
        <v>1344</v>
      </c>
      <c r="AM790" t="s">
        <v>1345</v>
      </c>
      <c r="AN790" t="s">
        <v>1346</v>
      </c>
      <c r="AO790" t="s">
        <v>1414</v>
      </c>
      <c r="AP790" t="s">
        <v>74</v>
      </c>
      <c r="AQ790" t="s">
        <v>74</v>
      </c>
      <c r="AR790" t="s">
        <v>1415</v>
      </c>
      <c r="AS790" t="s">
        <v>1416</v>
      </c>
      <c r="AT790" t="s">
        <v>10131</v>
      </c>
      <c r="AU790">
        <v>1998</v>
      </c>
      <c r="AV790">
        <v>11</v>
      </c>
      <c r="AW790">
        <v>6</v>
      </c>
      <c r="AX790" t="s">
        <v>74</v>
      </c>
      <c r="AY790" t="s">
        <v>74</v>
      </c>
      <c r="AZ790" t="s">
        <v>74</v>
      </c>
      <c r="BA790" t="s">
        <v>74</v>
      </c>
      <c r="BB790">
        <v>1420</v>
      </c>
      <c r="BC790">
        <v>1441</v>
      </c>
      <c r="BD790" t="s">
        <v>74</v>
      </c>
      <c r="BE790" t="s">
        <v>10549</v>
      </c>
      <c r="BF790" t="str">
        <f>HYPERLINK("http://dx.doi.org/10.1175/1520-0442(1998)011&lt;1420:SOFAWM&gt;2.0.CO;2","http://dx.doi.org/10.1175/1520-0442(1998)011&lt;1420:SOFAWM&gt;2.0.CO;2")</f>
        <v>http://dx.doi.org/10.1175/1520-0442(1998)011&lt;1420:SOFAWM&gt;2.0.CO;2</v>
      </c>
      <c r="BG790" t="s">
        <v>74</v>
      </c>
      <c r="BH790" t="s">
        <v>74</v>
      </c>
      <c r="BI790">
        <v>22</v>
      </c>
      <c r="BJ790" t="s">
        <v>1418</v>
      </c>
      <c r="BK790" t="s">
        <v>95</v>
      </c>
      <c r="BL790" t="s">
        <v>1418</v>
      </c>
      <c r="BM790" t="s">
        <v>10523</v>
      </c>
      <c r="BN790" t="s">
        <v>74</v>
      </c>
      <c r="BO790" t="s">
        <v>1429</v>
      </c>
      <c r="BP790" t="s">
        <v>74</v>
      </c>
      <c r="BQ790" t="s">
        <v>74</v>
      </c>
      <c r="BR790" t="s">
        <v>98</v>
      </c>
      <c r="BS790" t="s">
        <v>10550</v>
      </c>
      <c r="BT790" t="str">
        <f>HYPERLINK("https%3A%2F%2Fwww.webofscience.com%2Fwos%2Fwoscc%2Ffull-record%2FWOS:000073857500017","View Full Record in Web of Science")</f>
        <v>View Full Record in Web of Science</v>
      </c>
    </row>
    <row r="791" spans="1:72" x14ac:dyDescent="0.15">
      <c r="A791" t="s">
        <v>72</v>
      </c>
      <c r="B791" t="s">
        <v>10551</v>
      </c>
      <c r="C791" t="s">
        <v>74</v>
      </c>
      <c r="D791" t="s">
        <v>74</v>
      </c>
      <c r="E791" t="s">
        <v>74</v>
      </c>
      <c r="F791" t="s">
        <v>10551</v>
      </c>
      <c r="G791" t="s">
        <v>74</v>
      </c>
      <c r="H791" t="s">
        <v>74</v>
      </c>
      <c r="I791" t="s">
        <v>10552</v>
      </c>
      <c r="J791" t="s">
        <v>1406</v>
      </c>
      <c r="K791" t="s">
        <v>74</v>
      </c>
      <c r="L791" t="s">
        <v>74</v>
      </c>
      <c r="M791" t="s">
        <v>77</v>
      </c>
      <c r="N791" t="s">
        <v>103</v>
      </c>
      <c r="O791" t="s">
        <v>74</v>
      </c>
      <c r="P791" t="s">
        <v>74</v>
      </c>
      <c r="Q791" t="s">
        <v>74</v>
      </c>
      <c r="R791" t="s">
        <v>74</v>
      </c>
      <c r="S791" t="s">
        <v>74</v>
      </c>
      <c r="T791" t="s">
        <v>74</v>
      </c>
      <c r="U791" t="s">
        <v>10553</v>
      </c>
      <c r="V791" t="s">
        <v>10554</v>
      </c>
      <c r="W791" t="s">
        <v>10555</v>
      </c>
      <c r="X791" t="s">
        <v>10519</v>
      </c>
      <c r="Y791" t="s">
        <v>10556</v>
      </c>
      <c r="Z791" t="s">
        <v>74</v>
      </c>
      <c r="AA791" t="s">
        <v>10557</v>
      </c>
      <c r="AB791" t="s">
        <v>10558</v>
      </c>
      <c r="AC791" t="s">
        <v>74</v>
      </c>
      <c r="AD791" t="s">
        <v>74</v>
      </c>
      <c r="AE791" t="s">
        <v>74</v>
      </c>
      <c r="AF791" t="s">
        <v>74</v>
      </c>
      <c r="AG791">
        <v>32</v>
      </c>
      <c r="AH791">
        <v>43</v>
      </c>
      <c r="AI791">
        <v>48</v>
      </c>
      <c r="AJ791">
        <v>0</v>
      </c>
      <c r="AK791">
        <v>1</v>
      </c>
      <c r="AL791" t="s">
        <v>1344</v>
      </c>
      <c r="AM791" t="s">
        <v>1345</v>
      </c>
      <c r="AN791" t="s">
        <v>1346</v>
      </c>
      <c r="AO791" t="s">
        <v>1414</v>
      </c>
      <c r="AP791" t="s">
        <v>74</v>
      </c>
      <c r="AQ791" t="s">
        <v>74</v>
      </c>
      <c r="AR791" t="s">
        <v>1415</v>
      </c>
      <c r="AS791" t="s">
        <v>1416</v>
      </c>
      <c r="AT791" t="s">
        <v>10131</v>
      </c>
      <c r="AU791">
        <v>1998</v>
      </c>
      <c r="AV791">
        <v>11</v>
      </c>
      <c r="AW791">
        <v>6</v>
      </c>
      <c r="AX791" t="s">
        <v>74</v>
      </c>
      <c r="AY791" t="s">
        <v>74</v>
      </c>
      <c r="AZ791" t="s">
        <v>74</v>
      </c>
      <c r="BA791" t="s">
        <v>74</v>
      </c>
      <c r="BB791">
        <v>1455</v>
      </c>
      <c r="BC791">
        <v>1471</v>
      </c>
      <c r="BD791" t="s">
        <v>74</v>
      </c>
      <c r="BE791" t="s">
        <v>10559</v>
      </c>
      <c r="BF791" t="str">
        <f>HYPERLINK("http://dx.doi.org/10.1175/1520-0442(1998)011&lt;1455:CDIAMI&gt;2.0.CO;2","http://dx.doi.org/10.1175/1520-0442(1998)011&lt;1455:CDIAMI&gt;2.0.CO;2")</f>
        <v>http://dx.doi.org/10.1175/1520-0442(1998)011&lt;1455:CDIAMI&gt;2.0.CO;2</v>
      </c>
      <c r="BG791" t="s">
        <v>74</v>
      </c>
      <c r="BH791" t="s">
        <v>74</v>
      </c>
      <c r="BI791">
        <v>17</v>
      </c>
      <c r="BJ791" t="s">
        <v>1418</v>
      </c>
      <c r="BK791" t="s">
        <v>95</v>
      </c>
      <c r="BL791" t="s">
        <v>1418</v>
      </c>
      <c r="BM791" t="s">
        <v>10523</v>
      </c>
      <c r="BN791" t="s">
        <v>74</v>
      </c>
      <c r="BO791" t="s">
        <v>1429</v>
      </c>
      <c r="BP791" t="s">
        <v>74</v>
      </c>
      <c r="BQ791" t="s">
        <v>74</v>
      </c>
      <c r="BR791" t="s">
        <v>98</v>
      </c>
      <c r="BS791" t="s">
        <v>10560</v>
      </c>
      <c r="BT791" t="str">
        <f>HYPERLINK("https%3A%2F%2Fwww.webofscience.com%2Fwos%2Fwoscc%2Ffull-record%2FWOS:000073857500019","View Full Record in Web of Science")</f>
        <v>View Full Record in Web of Science</v>
      </c>
    </row>
    <row r="792" spans="1:72" x14ac:dyDescent="0.15">
      <c r="A792" t="s">
        <v>72</v>
      </c>
      <c r="B792" t="s">
        <v>10561</v>
      </c>
      <c r="C792" t="s">
        <v>74</v>
      </c>
      <c r="D792" t="s">
        <v>74</v>
      </c>
      <c r="E792" t="s">
        <v>74</v>
      </c>
      <c r="F792" t="s">
        <v>10561</v>
      </c>
      <c r="G792" t="s">
        <v>74</v>
      </c>
      <c r="H792" t="s">
        <v>74</v>
      </c>
      <c r="I792" t="s">
        <v>10562</v>
      </c>
      <c r="J792" t="s">
        <v>1406</v>
      </c>
      <c r="K792" t="s">
        <v>74</v>
      </c>
      <c r="L792" t="s">
        <v>74</v>
      </c>
      <c r="M792" t="s">
        <v>77</v>
      </c>
      <c r="N792" t="s">
        <v>103</v>
      </c>
      <c r="O792" t="s">
        <v>74</v>
      </c>
      <c r="P792" t="s">
        <v>74</v>
      </c>
      <c r="Q792" t="s">
        <v>74</v>
      </c>
      <c r="R792" t="s">
        <v>74</v>
      </c>
      <c r="S792" t="s">
        <v>74</v>
      </c>
      <c r="T792" t="s">
        <v>74</v>
      </c>
      <c r="U792" t="s">
        <v>10563</v>
      </c>
      <c r="V792" t="s">
        <v>10564</v>
      </c>
      <c r="W792" t="s">
        <v>10565</v>
      </c>
      <c r="X792" t="s">
        <v>10566</v>
      </c>
      <c r="Y792" t="s">
        <v>10567</v>
      </c>
      <c r="Z792" t="s">
        <v>10568</v>
      </c>
      <c r="AA792" t="s">
        <v>74</v>
      </c>
      <c r="AB792" t="s">
        <v>74</v>
      </c>
      <c r="AC792" t="s">
        <v>74</v>
      </c>
      <c r="AD792" t="s">
        <v>74</v>
      </c>
      <c r="AE792" t="s">
        <v>74</v>
      </c>
      <c r="AF792" t="s">
        <v>74</v>
      </c>
      <c r="AG792">
        <v>39</v>
      </c>
      <c r="AH792">
        <v>99</v>
      </c>
      <c r="AI792">
        <v>108</v>
      </c>
      <c r="AJ792">
        <v>0</v>
      </c>
      <c r="AK792">
        <v>5</v>
      </c>
      <c r="AL792" t="s">
        <v>1344</v>
      </c>
      <c r="AM792" t="s">
        <v>1345</v>
      </c>
      <c r="AN792" t="s">
        <v>1346</v>
      </c>
      <c r="AO792" t="s">
        <v>1414</v>
      </c>
      <c r="AP792" t="s">
        <v>74</v>
      </c>
      <c r="AQ792" t="s">
        <v>74</v>
      </c>
      <c r="AR792" t="s">
        <v>1415</v>
      </c>
      <c r="AS792" t="s">
        <v>1416</v>
      </c>
      <c r="AT792" t="s">
        <v>10131</v>
      </c>
      <c r="AU792">
        <v>1998</v>
      </c>
      <c r="AV792">
        <v>11</v>
      </c>
      <c r="AW792">
        <v>6</v>
      </c>
      <c r="AX792" t="s">
        <v>74</v>
      </c>
      <c r="AY792" t="s">
        <v>74</v>
      </c>
      <c r="AZ792" t="s">
        <v>74</v>
      </c>
      <c r="BA792" t="s">
        <v>74</v>
      </c>
      <c r="BB792">
        <v>1472</v>
      </c>
      <c r="BC792">
        <v>1486</v>
      </c>
      <c r="BD792" t="s">
        <v>74</v>
      </c>
      <c r="BE792" t="s">
        <v>10569</v>
      </c>
      <c r="BF792" t="str">
        <f>HYPERLINK("http://dx.doi.org/10.1175/1520-0442(1998)011&lt;1472:SIAPCI&gt;2.0.CO;2","http://dx.doi.org/10.1175/1520-0442(1998)011&lt;1472:SIAPCI&gt;2.0.CO;2")</f>
        <v>http://dx.doi.org/10.1175/1520-0442(1998)011&lt;1472:SIAPCI&gt;2.0.CO;2</v>
      </c>
      <c r="BG792" t="s">
        <v>74</v>
      </c>
      <c r="BH792" t="s">
        <v>74</v>
      </c>
      <c r="BI792">
        <v>15</v>
      </c>
      <c r="BJ792" t="s">
        <v>1418</v>
      </c>
      <c r="BK792" t="s">
        <v>95</v>
      </c>
      <c r="BL792" t="s">
        <v>1418</v>
      </c>
      <c r="BM792" t="s">
        <v>10523</v>
      </c>
      <c r="BN792" t="s">
        <v>74</v>
      </c>
      <c r="BO792" t="s">
        <v>1429</v>
      </c>
      <c r="BP792" t="s">
        <v>74</v>
      </c>
      <c r="BQ792" t="s">
        <v>74</v>
      </c>
      <c r="BR792" t="s">
        <v>98</v>
      </c>
      <c r="BS792" t="s">
        <v>10570</v>
      </c>
      <c r="BT792" t="str">
        <f>HYPERLINK("https%3A%2F%2Fwww.webofscience.com%2Fwos%2Fwoscc%2Ffull-record%2FWOS:000073857500020","View Full Record in Web of Science")</f>
        <v>View Full Record in Web of Science</v>
      </c>
    </row>
    <row r="793" spans="1:72" x14ac:dyDescent="0.15">
      <c r="A793" t="s">
        <v>72</v>
      </c>
      <c r="B793" t="s">
        <v>10571</v>
      </c>
      <c r="C793" t="s">
        <v>74</v>
      </c>
      <c r="D793" t="s">
        <v>74</v>
      </c>
      <c r="E793" t="s">
        <v>74</v>
      </c>
      <c r="F793" t="s">
        <v>10571</v>
      </c>
      <c r="G793" t="s">
        <v>74</v>
      </c>
      <c r="H793" t="s">
        <v>74</v>
      </c>
      <c r="I793" t="s">
        <v>10572</v>
      </c>
      <c r="J793" t="s">
        <v>10573</v>
      </c>
      <c r="K793" t="s">
        <v>74</v>
      </c>
      <c r="L793" t="s">
        <v>74</v>
      </c>
      <c r="M793" t="s">
        <v>77</v>
      </c>
      <c r="N793" t="s">
        <v>103</v>
      </c>
      <c r="O793" t="s">
        <v>74</v>
      </c>
      <c r="P793" t="s">
        <v>74</v>
      </c>
      <c r="Q793" t="s">
        <v>74</v>
      </c>
      <c r="R793" t="s">
        <v>74</v>
      </c>
      <c r="S793" t="s">
        <v>74</v>
      </c>
      <c r="T793" t="s">
        <v>10574</v>
      </c>
      <c r="U793" t="s">
        <v>10575</v>
      </c>
      <c r="V793" t="s">
        <v>10576</v>
      </c>
      <c r="W793" t="s">
        <v>10577</v>
      </c>
      <c r="X793" t="s">
        <v>10578</v>
      </c>
      <c r="Y793" t="s">
        <v>10579</v>
      </c>
      <c r="Z793" t="s">
        <v>74</v>
      </c>
      <c r="AA793" t="s">
        <v>74</v>
      </c>
      <c r="AB793" t="s">
        <v>74</v>
      </c>
      <c r="AC793" t="s">
        <v>74</v>
      </c>
      <c r="AD793" t="s">
        <v>74</v>
      </c>
      <c r="AE793" t="s">
        <v>74</v>
      </c>
      <c r="AF793" t="s">
        <v>74</v>
      </c>
      <c r="AG793">
        <v>33</v>
      </c>
      <c r="AH793">
        <v>2</v>
      </c>
      <c r="AI793">
        <v>2</v>
      </c>
      <c r="AJ793">
        <v>0</v>
      </c>
      <c r="AK793">
        <v>1</v>
      </c>
      <c r="AL793" t="s">
        <v>10580</v>
      </c>
      <c r="AM793" t="s">
        <v>4407</v>
      </c>
      <c r="AN793" t="s">
        <v>10581</v>
      </c>
      <c r="AO793" t="s">
        <v>10582</v>
      </c>
      <c r="AP793" t="s">
        <v>10583</v>
      </c>
      <c r="AQ793" t="s">
        <v>74</v>
      </c>
      <c r="AR793" t="s">
        <v>10584</v>
      </c>
      <c r="AS793" t="s">
        <v>10585</v>
      </c>
      <c r="AT793" t="s">
        <v>10493</v>
      </c>
      <c r="AU793">
        <v>1998</v>
      </c>
      <c r="AV793">
        <v>14</v>
      </c>
      <c r="AW793">
        <v>3</v>
      </c>
      <c r="AX793" t="s">
        <v>74</v>
      </c>
      <c r="AY793" t="s">
        <v>74</v>
      </c>
      <c r="AZ793" t="s">
        <v>74</v>
      </c>
      <c r="BA793" t="s">
        <v>74</v>
      </c>
      <c r="BB793">
        <v>1065</v>
      </c>
      <c r="BC793">
        <v>1073</v>
      </c>
      <c r="BD793" t="s">
        <v>74</v>
      </c>
      <c r="BE793" t="s">
        <v>74</v>
      </c>
      <c r="BF793" t="s">
        <v>74</v>
      </c>
      <c r="BG793" t="s">
        <v>74</v>
      </c>
      <c r="BH793" t="s">
        <v>74</v>
      </c>
      <c r="BI793">
        <v>9</v>
      </c>
      <c r="BJ793" t="s">
        <v>3960</v>
      </c>
      <c r="BK793" t="s">
        <v>95</v>
      </c>
      <c r="BL793" t="s">
        <v>3961</v>
      </c>
      <c r="BM793" t="s">
        <v>10586</v>
      </c>
      <c r="BN793" t="s">
        <v>74</v>
      </c>
      <c r="BO793" t="s">
        <v>74</v>
      </c>
      <c r="BP793" t="s">
        <v>74</v>
      </c>
      <c r="BQ793" t="s">
        <v>74</v>
      </c>
      <c r="BR793" t="s">
        <v>98</v>
      </c>
      <c r="BS793" t="s">
        <v>10587</v>
      </c>
      <c r="BT793" t="str">
        <f>HYPERLINK("https%3A%2F%2Fwww.webofscience.com%2Fwos%2Fwoscc%2Ffull-record%2FWOS:000075421100031","View Full Record in Web of Science")</f>
        <v>View Full Record in Web of Science</v>
      </c>
    </row>
    <row r="794" spans="1:72" x14ac:dyDescent="0.15">
      <c r="A794" t="s">
        <v>72</v>
      </c>
      <c r="B794" t="s">
        <v>10588</v>
      </c>
      <c r="C794" t="s">
        <v>74</v>
      </c>
      <c r="D794" t="s">
        <v>74</v>
      </c>
      <c r="E794" t="s">
        <v>74</v>
      </c>
      <c r="F794" t="s">
        <v>10588</v>
      </c>
      <c r="G794" t="s">
        <v>74</v>
      </c>
      <c r="H794" t="s">
        <v>74</v>
      </c>
      <c r="I794" t="s">
        <v>10589</v>
      </c>
      <c r="J794" t="s">
        <v>1450</v>
      </c>
      <c r="K794" t="s">
        <v>74</v>
      </c>
      <c r="L794" t="s">
        <v>74</v>
      </c>
      <c r="M794" t="s">
        <v>77</v>
      </c>
      <c r="N794" t="s">
        <v>103</v>
      </c>
      <c r="O794" t="s">
        <v>74</v>
      </c>
      <c r="P794" t="s">
        <v>74</v>
      </c>
      <c r="Q794" t="s">
        <v>74</v>
      </c>
      <c r="R794" t="s">
        <v>74</v>
      </c>
      <c r="S794" t="s">
        <v>74</v>
      </c>
      <c r="T794" t="s">
        <v>74</v>
      </c>
      <c r="U794" t="s">
        <v>10590</v>
      </c>
      <c r="V794" t="s">
        <v>10591</v>
      </c>
      <c r="W794" t="s">
        <v>10592</v>
      </c>
      <c r="X794" t="s">
        <v>10593</v>
      </c>
      <c r="Y794" t="s">
        <v>10594</v>
      </c>
      <c r="Z794" t="s">
        <v>74</v>
      </c>
      <c r="AA794" t="s">
        <v>10595</v>
      </c>
      <c r="AB794" t="s">
        <v>10596</v>
      </c>
      <c r="AC794" t="s">
        <v>74</v>
      </c>
      <c r="AD794" t="s">
        <v>74</v>
      </c>
      <c r="AE794" t="s">
        <v>74</v>
      </c>
      <c r="AF794" t="s">
        <v>74</v>
      </c>
      <c r="AG794">
        <v>30</v>
      </c>
      <c r="AH794">
        <v>160</v>
      </c>
      <c r="AI794">
        <v>164</v>
      </c>
      <c r="AJ794">
        <v>0</v>
      </c>
      <c r="AK794">
        <v>14</v>
      </c>
      <c r="AL794" t="s">
        <v>966</v>
      </c>
      <c r="AM794" t="s">
        <v>967</v>
      </c>
      <c r="AN794" t="s">
        <v>968</v>
      </c>
      <c r="AO794" t="s">
        <v>74</v>
      </c>
      <c r="AP794" t="s">
        <v>74</v>
      </c>
      <c r="AQ794" t="s">
        <v>74</v>
      </c>
      <c r="AR794" t="s">
        <v>1460</v>
      </c>
      <c r="AS794" t="s">
        <v>1461</v>
      </c>
      <c r="AT794" t="s">
        <v>10291</v>
      </c>
      <c r="AU794">
        <v>1998</v>
      </c>
      <c r="AV794">
        <v>103</v>
      </c>
      <c r="AW794" t="s">
        <v>10597</v>
      </c>
      <c r="AX794" t="s">
        <v>74</v>
      </c>
      <c r="AY794" t="s">
        <v>74</v>
      </c>
      <c r="AZ794" t="s">
        <v>74</v>
      </c>
      <c r="BA794" t="s">
        <v>74</v>
      </c>
      <c r="BB794">
        <v>11685</v>
      </c>
      <c r="BC794">
        <v>11694</v>
      </c>
      <c r="BD794" t="s">
        <v>74</v>
      </c>
      <c r="BE794" t="s">
        <v>10598</v>
      </c>
      <c r="BF794" t="str">
        <f>HYPERLINK("http://dx.doi.org/10.1029/98JA00897","http://dx.doi.org/10.1029/98JA00897")</f>
        <v>http://dx.doi.org/10.1029/98JA00897</v>
      </c>
      <c r="BG794" t="s">
        <v>74</v>
      </c>
      <c r="BH794" t="s">
        <v>74</v>
      </c>
      <c r="BI794">
        <v>10</v>
      </c>
      <c r="BJ794" t="s">
        <v>1464</v>
      </c>
      <c r="BK794" t="s">
        <v>95</v>
      </c>
      <c r="BL794" t="s">
        <v>1464</v>
      </c>
      <c r="BM794" t="s">
        <v>10599</v>
      </c>
      <c r="BN794" t="s">
        <v>74</v>
      </c>
      <c r="BO794" t="s">
        <v>2825</v>
      </c>
      <c r="BP794" t="s">
        <v>74</v>
      </c>
      <c r="BQ794" t="s">
        <v>74</v>
      </c>
      <c r="BR794" t="s">
        <v>98</v>
      </c>
      <c r="BS794" t="s">
        <v>10600</v>
      </c>
      <c r="BT794" t="str">
        <f>HYPERLINK("https%3A%2F%2Fwww.webofscience.com%2Fwos%2Fwoscc%2Ffull-record%2FWOS:000073880700011","View Full Record in Web of Science")</f>
        <v>View Full Record in Web of Science</v>
      </c>
    </row>
    <row r="795" spans="1:72" x14ac:dyDescent="0.15">
      <c r="A795" t="s">
        <v>72</v>
      </c>
      <c r="B795" t="s">
        <v>10601</v>
      </c>
      <c r="C795" t="s">
        <v>74</v>
      </c>
      <c r="D795" t="s">
        <v>74</v>
      </c>
      <c r="E795" t="s">
        <v>74</v>
      </c>
      <c r="F795" t="s">
        <v>10601</v>
      </c>
      <c r="G795" t="s">
        <v>74</v>
      </c>
      <c r="H795" t="s">
        <v>74</v>
      </c>
      <c r="I795" t="s">
        <v>10602</v>
      </c>
      <c r="J795" t="s">
        <v>1613</v>
      </c>
      <c r="K795" t="s">
        <v>74</v>
      </c>
      <c r="L795" t="s">
        <v>74</v>
      </c>
      <c r="M795" t="s">
        <v>77</v>
      </c>
      <c r="N795" t="s">
        <v>123</v>
      </c>
      <c r="O795" t="s">
        <v>10603</v>
      </c>
      <c r="P795" t="s">
        <v>10604</v>
      </c>
      <c r="Q795" t="s">
        <v>10605</v>
      </c>
      <c r="R795" t="s">
        <v>74</v>
      </c>
      <c r="S795" t="s">
        <v>74</v>
      </c>
      <c r="T795" t="s">
        <v>10606</v>
      </c>
      <c r="U795" t="s">
        <v>10607</v>
      </c>
      <c r="V795" t="s">
        <v>10608</v>
      </c>
      <c r="W795" t="s">
        <v>944</v>
      </c>
      <c r="X795" t="s">
        <v>628</v>
      </c>
      <c r="Y795" t="s">
        <v>2175</v>
      </c>
      <c r="Z795" t="s">
        <v>2176</v>
      </c>
      <c r="AA795" t="s">
        <v>2077</v>
      </c>
      <c r="AB795" t="s">
        <v>74</v>
      </c>
      <c r="AC795" t="s">
        <v>74</v>
      </c>
      <c r="AD795" t="s">
        <v>74</v>
      </c>
      <c r="AE795" t="s">
        <v>74</v>
      </c>
      <c r="AF795" t="s">
        <v>74</v>
      </c>
      <c r="AG795">
        <v>142</v>
      </c>
      <c r="AH795">
        <v>184</v>
      </c>
      <c r="AI795">
        <v>202</v>
      </c>
      <c r="AJ795">
        <v>1</v>
      </c>
      <c r="AK795">
        <v>28</v>
      </c>
      <c r="AL795" t="s">
        <v>1037</v>
      </c>
      <c r="AM795" t="s">
        <v>1038</v>
      </c>
      <c r="AN795" t="s">
        <v>1039</v>
      </c>
      <c r="AO795" t="s">
        <v>1623</v>
      </c>
      <c r="AP795" t="s">
        <v>1624</v>
      </c>
      <c r="AQ795" t="s">
        <v>74</v>
      </c>
      <c r="AR795" t="s">
        <v>1625</v>
      </c>
      <c r="AS795" t="s">
        <v>1626</v>
      </c>
      <c r="AT795" t="s">
        <v>10131</v>
      </c>
      <c r="AU795">
        <v>1998</v>
      </c>
      <c r="AV795">
        <v>15</v>
      </c>
      <c r="AW795" t="s">
        <v>5317</v>
      </c>
      <c r="AX795" t="s">
        <v>74</v>
      </c>
      <c r="AY795" t="s">
        <v>74</v>
      </c>
      <c r="AZ795" t="s">
        <v>74</v>
      </c>
      <c r="BA795" t="s">
        <v>74</v>
      </c>
      <c r="BB795">
        <v>289</v>
      </c>
      <c r="BC795">
        <v>311</v>
      </c>
      <c r="BD795" t="s">
        <v>74</v>
      </c>
      <c r="BE795" t="s">
        <v>10609</v>
      </c>
      <c r="BF795" t="str">
        <f>HYPERLINK("http://dx.doi.org/10.1016/S0924-7963(97)00081-X","http://dx.doi.org/10.1016/S0924-7963(97)00081-X")</f>
        <v>http://dx.doi.org/10.1016/S0924-7963(97)00081-X</v>
      </c>
      <c r="BG795" t="s">
        <v>74</v>
      </c>
      <c r="BH795" t="s">
        <v>74</v>
      </c>
      <c r="BI795">
        <v>23</v>
      </c>
      <c r="BJ795" t="s">
        <v>1628</v>
      </c>
      <c r="BK795" t="s">
        <v>144</v>
      </c>
      <c r="BL795" t="s">
        <v>1629</v>
      </c>
      <c r="BM795" t="s">
        <v>10610</v>
      </c>
      <c r="BN795" t="s">
        <v>74</v>
      </c>
      <c r="BO795" t="s">
        <v>74</v>
      </c>
      <c r="BP795" t="s">
        <v>74</v>
      </c>
      <c r="BQ795" t="s">
        <v>74</v>
      </c>
      <c r="BR795" t="s">
        <v>98</v>
      </c>
      <c r="BS795" t="s">
        <v>10611</v>
      </c>
      <c r="BT795" t="str">
        <f>HYPERLINK("https%3A%2F%2Fwww.webofscience.com%2Fwos%2Fwoscc%2Ffull-record%2FWOS:000074876100035","View Full Record in Web of Science")</f>
        <v>View Full Record in Web of Science</v>
      </c>
    </row>
    <row r="796" spans="1:72" x14ac:dyDescent="0.15">
      <c r="A796" t="s">
        <v>72</v>
      </c>
      <c r="B796" t="s">
        <v>10612</v>
      </c>
      <c r="C796" t="s">
        <v>74</v>
      </c>
      <c r="D796" t="s">
        <v>74</v>
      </c>
      <c r="E796" t="s">
        <v>74</v>
      </c>
      <c r="F796" t="s">
        <v>10612</v>
      </c>
      <c r="G796" t="s">
        <v>74</v>
      </c>
      <c r="H796" t="s">
        <v>74</v>
      </c>
      <c r="I796" t="s">
        <v>10613</v>
      </c>
      <c r="J796" t="s">
        <v>10614</v>
      </c>
      <c r="K796" t="s">
        <v>74</v>
      </c>
      <c r="L796" t="s">
        <v>74</v>
      </c>
      <c r="M796" t="s">
        <v>77</v>
      </c>
      <c r="N796" t="s">
        <v>103</v>
      </c>
      <c r="O796" t="s">
        <v>74</v>
      </c>
      <c r="P796" t="s">
        <v>74</v>
      </c>
      <c r="Q796" t="s">
        <v>74</v>
      </c>
      <c r="R796" t="s">
        <v>74</v>
      </c>
      <c r="S796" t="s">
        <v>74</v>
      </c>
      <c r="T796" t="s">
        <v>10615</v>
      </c>
      <c r="U796" t="s">
        <v>10616</v>
      </c>
      <c r="V796" t="s">
        <v>10617</v>
      </c>
      <c r="W796" t="s">
        <v>10618</v>
      </c>
      <c r="X796" t="s">
        <v>10619</v>
      </c>
      <c r="Y796" t="s">
        <v>10620</v>
      </c>
      <c r="Z796" t="s">
        <v>74</v>
      </c>
      <c r="AA796" t="s">
        <v>74</v>
      </c>
      <c r="AB796" t="s">
        <v>74</v>
      </c>
      <c r="AC796" t="s">
        <v>74</v>
      </c>
      <c r="AD796" t="s">
        <v>74</v>
      </c>
      <c r="AE796" t="s">
        <v>74</v>
      </c>
      <c r="AF796" t="s">
        <v>74</v>
      </c>
      <c r="AG796">
        <v>49</v>
      </c>
      <c r="AH796">
        <v>18</v>
      </c>
      <c r="AI796">
        <v>22</v>
      </c>
      <c r="AJ796">
        <v>0</v>
      </c>
      <c r="AK796">
        <v>3</v>
      </c>
      <c r="AL796" t="s">
        <v>1201</v>
      </c>
      <c r="AM796" t="s">
        <v>1121</v>
      </c>
      <c r="AN796" t="s">
        <v>4864</v>
      </c>
      <c r="AO796" t="s">
        <v>10621</v>
      </c>
      <c r="AP796" t="s">
        <v>74</v>
      </c>
      <c r="AQ796" t="s">
        <v>74</v>
      </c>
      <c r="AR796" t="s">
        <v>10622</v>
      </c>
      <c r="AS796" t="s">
        <v>10623</v>
      </c>
      <c r="AT796" t="s">
        <v>10131</v>
      </c>
      <c r="AU796">
        <v>1998</v>
      </c>
      <c r="AV796">
        <v>32</v>
      </c>
      <c r="AW796">
        <v>6</v>
      </c>
      <c r="AX796" t="s">
        <v>74</v>
      </c>
      <c r="AY796" t="s">
        <v>74</v>
      </c>
      <c r="AZ796" t="s">
        <v>74</v>
      </c>
      <c r="BA796" t="s">
        <v>74</v>
      </c>
      <c r="BB796">
        <v>785</v>
      </c>
      <c r="BC796">
        <v>804</v>
      </c>
      <c r="BD796" t="s">
        <v>74</v>
      </c>
      <c r="BE796" t="s">
        <v>10624</v>
      </c>
      <c r="BF796" t="str">
        <f>HYPERLINK("http://dx.doi.org/10.1080/00222939800770421","http://dx.doi.org/10.1080/00222939800770421")</f>
        <v>http://dx.doi.org/10.1080/00222939800770421</v>
      </c>
      <c r="BG796" t="s">
        <v>74</v>
      </c>
      <c r="BH796" t="s">
        <v>74</v>
      </c>
      <c r="BI796">
        <v>20</v>
      </c>
      <c r="BJ796" t="s">
        <v>10625</v>
      </c>
      <c r="BK796" t="s">
        <v>95</v>
      </c>
      <c r="BL796" t="s">
        <v>10626</v>
      </c>
      <c r="BM796" t="s">
        <v>10627</v>
      </c>
      <c r="BN796" t="s">
        <v>74</v>
      </c>
      <c r="BO796" t="s">
        <v>74</v>
      </c>
      <c r="BP796" t="s">
        <v>74</v>
      </c>
      <c r="BQ796" t="s">
        <v>74</v>
      </c>
      <c r="BR796" t="s">
        <v>98</v>
      </c>
      <c r="BS796" t="s">
        <v>10628</v>
      </c>
      <c r="BT796" t="str">
        <f>HYPERLINK("https%3A%2F%2Fwww.webofscience.com%2Fwos%2Fwoscc%2Ffull-record%2FWOS:000073910500001","View Full Record in Web of Science")</f>
        <v>View Full Record in Web of Science</v>
      </c>
    </row>
    <row r="797" spans="1:72" x14ac:dyDescent="0.15">
      <c r="A797" t="s">
        <v>72</v>
      </c>
      <c r="B797" t="s">
        <v>10629</v>
      </c>
      <c r="C797" t="s">
        <v>74</v>
      </c>
      <c r="D797" t="s">
        <v>74</v>
      </c>
      <c r="E797" t="s">
        <v>74</v>
      </c>
      <c r="F797" t="s">
        <v>10629</v>
      </c>
      <c r="G797" t="s">
        <v>74</v>
      </c>
      <c r="H797" t="s">
        <v>74</v>
      </c>
      <c r="I797" t="s">
        <v>10630</v>
      </c>
      <c r="J797" t="s">
        <v>10614</v>
      </c>
      <c r="K797" t="s">
        <v>74</v>
      </c>
      <c r="L797" t="s">
        <v>74</v>
      </c>
      <c r="M797" t="s">
        <v>77</v>
      </c>
      <c r="N797" t="s">
        <v>103</v>
      </c>
      <c r="O797" t="s">
        <v>74</v>
      </c>
      <c r="P797" t="s">
        <v>74</v>
      </c>
      <c r="Q797" t="s">
        <v>74</v>
      </c>
      <c r="R797" t="s">
        <v>74</v>
      </c>
      <c r="S797" t="s">
        <v>74</v>
      </c>
      <c r="T797" t="s">
        <v>10631</v>
      </c>
      <c r="U797" t="s">
        <v>10632</v>
      </c>
      <c r="V797" t="s">
        <v>10633</v>
      </c>
      <c r="W797" t="s">
        <v>10634</v>
      </c>
      <c r="X797" t="s">
        <v>10635</v>
      </c>
      <c r="Y797" t="s">
        <v>10636</v>
      </c>
      <c r="Z797" t="s">
        <v>74</v>
      </c>
      <c r="AA797" t="s">
        <v>10637</v>
      </c>
      <c r="AB797" t="s">
        <v>74</v>
      </c>
      <c r="AC797" t="s">
        <v>74</v>
      </c>
      <c r="AD797" t="s">
        <v>74</v>
      </c>
      <c r="AE797" t="s">
        <v>74</v>
      </c>
      <c r="AF797" t="s">
        <v>74</v>
      </c>
      <c r="AG797">
        <v>80</v>
      </c>
      <c r="AH797">
        <v>34</v>
      </c>
      <c r="AI797">
        <v>37</v>
      </c>
      <c r="AJ797">
        <v>1</v>
      </c>
      <c r="AK797">
        <v>18</v>
      </c>
      <c r="AL797" t="s">
        <v>1201</v>
      </c>
      <c r="AM797" t="s">
        <v>1121</v>
      </c>
      <c r="AN797" t="s">
        <v>4864</v>
      </c>
      <c r="AO797" t="s">
        <v>10621</v>
      </c>
      <c r="AP797" t="s">
        <v>74</v>
      </c>
      <c r="AQ797" t="s">
        <v>74</v>
      </c>
      <c r="AR797" t="s">
        <v>10622</v>
      </c>
      <c r="AS797" t="s">
        <v>10623</v>
      </c>
      <c r="AT797" t="s">
        <v>10131</v>
      </c>
      <c r="AU797">
        <v>1998</v>
      </c>
      <c r="AV797">
        <v>32</v>
      </c>
      <c r="AW797">
        <v>6</v>
      </c>
      <c r="AX797" t="s">
        <v>74</v>
      </c>
      <c r="AY797" t="s">
        <v>74</v>
      </c>
      <c r="AZ797" t="s">
        <v>74</v>
      </c>
      <c r="BA797" t="s">
        <v>74</v>
      </c>
      <c r="BB797">
        <v>861</v>
      </c>
      <c r="BC797">
        <v>894</v>
      </c>
      <c r="BD797" t="s">
        <v>74</v>
      </c>
      <c r="BE797" t="s">
        <v>10638</v>
      </c>
      <c r="BF797" t="str">
        <f>HYPERLINK("http://dx.doi.org/10.1080/00222939800770451","http://dx.doi.org/10.1080/00222939800770451")</f>
        <v>http://dx.doi.org/10.1080/00222939800770451</v>
      </c>
      <c r="BG797" t="s">
        <v>74</v>
      </c>
      <c r="BH797" t="s">
        <v>74</v>
      </c>
      <c r="BI797">
        <v>34</v>
      </c>
      <c r="BJ797" t="s">
        <v>10625</v>
      </c>
      <c r="BK797" t="s">
        <v>95</v>
      </c>
      <c r="BL797" t="s">
        <v>10626</v>
      </c>
      <c r="BM797" t="s">
        <v>10627</v>
      </c>
      <c r="BN797" t="s">
        <v>74</v>
      </c>
      <c r="BO797" t="s">
        <v>74</v>
      </c>
      <c r="BP797" t="s">
        <v>74</v>
      </c>
      <c r="BQ797" t="s">
        <v>74</v>
      </c>
      <c r="BR797" t="s">
        <v>98</v>
      </c>
      <c r="BS797" t="s">
        <v>10639</v>
      </c>
      <c r="BT797" t="str">
        <f>HYPERLINK("https%3A%2F%2Fwww.webofscience.com%2Fwos%2Fwoscc%2Ffull-record%2FWOS:000073910500004","View Full Record in Web of Science")</f>
        <v>View Full Record in Web of Science</v>
      </c>
    </row>
    <row r="798" spans="1:72" x14ac:dyDescent="0.15">
      <c r="A798" t="s">
        <v>72</v>
      </c>
      <c r="B798" t="s">
        <v>10640</v>
      </c>
      <c r="C798" t="s">
        <v>74</v>
      </c>
      <c r="D798" t="s">
        <v>74</v>
      </c>
      <c r="E798" t="s">
        <v>74</v>
      </c>
      <c r="F798" t="s">
        <v>10640</v>
      </c>
      <c r="G798" t="s">
        <v>74</v>
      </c>
      <c r="H798" t="s">
        <v>74</v>
      </c>
      <c r="I798" t="s">
        <v>10641</v>
      </c>
      <c r="J798" t="s">
        <v>4397</v>
      </c>
      <c r="K798" t="s">
        <v>74</v>
      </c>
      <c r="L798" t="s">
        <v>74</v>
      </c>
      <c r="M798" t="s">
        <v>77</v>
      </c>
      <c r="N798" t="s">
        <v>103</v>
      </c>
      <c r="O798" t="s">
        <v>74</v>
      </c>
      <c r="P798" t="s">
        <v>74</v>
      </c>
      <c r="Q798" t="s">
        <v>74</v>
      </c>
      <c r="R798" t="s">
        <v>74</v>
      </c>
      <c r="S798" t="s">
        <v>74</v>
      </c>
      <c r="T798" t="s">
        <v>10642</v>
      </c>
      <c r="U798" t="s">
        <v>10643</v>
      </c>
      <c r="V798" t="s">
        <v>10644</v>
      </c>
      <c r="W798" t="s">
        <v>10645</v>
      </c>
      <c r="X798" t="s">
        <v>10646</v>
      </c>
      <c r="Y798" t="s">
        <v>10647</v>
      </c>
      <c r="Z798" t="s">
        <v>74</v>
      </c>
      <c r="AA798" t="s">
        <v>74</v>
      </c>
      <c r="AB798" t="s">
        <v>74</v>
      </c>
      <c r="AC798" t="s">
        <v>74</v>
      </c>
      <c r="AD798" t="s">
        <v>74</v>
      </c>
      <c r="AE798" t="s">
        <v>74</v>
      </c>
      <c r="AF798" t="s">
        <v>74</v>
      </c>
      <c r="AG798">
        <v>74</v>
      </c>
      <c r="AH798">
        <v>89</v>
      </c>
      <c r="AI798">
        <v>109</v>
      </c>
      <c r="AJ798">
        <v>0</v>
      </c>
      <c r="AK798">
        <v>23</v>
      </c>
      <c r="AL798" t="s">
        <v>4406</v>
      </c>
      <c r="AM798" t="s">
        <v>4407</v>
      </c>
      <c r="AN798" t="s">
        <v>4408</v>
      </c>
      <c r="AO798" t="s">
        <v>4409</v>
      </c>
      <c r="AP798" t="s">
        <v>74</v>
      </c>
      <c r="AQ798" t="s">
        <v>74</v>
      </c>
      <c r="AR798" t="s">
        <v>4410</v>
      </c>
      <c r="AS798" t="s">
        <v>4411</v>
      </c>
      <c r="AT798" t="s">
        <v>10131</v>
      </c>
      <c r="AU798">
        <v>1998</v>
      </c>
      <c r="AV798">
        <v>34</v>
      </c>
      <c r="AW798">
        <v>3</v>
      </c>
      <c r="AX798" t="s">
        <v>74</v>
      </c>
      <c r="AY798" t="s">
        <v>74</v>
      </c>
      <c r="AZ798" t="s">
        <v>74</v>
      </c>
      <c r="BA798" t="s">
        <v>74</v>
      </c>
      <c r="BB798">
        <v>486</v>
      </c>
      <c r="BC798">
        <v>495</v>
      </c>
      <c r="BD798" t="s">
        <v>74</v>
      </c>
      <c r="BE798" t="s">
        <v>10648</v>
      </c>
      <c r="BF798" t="str">
        <f>HYPERLINK("http://dx.doi.org/10.1046/j.1529-8817.1998.340486.x","http://dx.doi.org/10.1046/j.1529-8817.1998.340486.x")</f>
        <v>http://dx.doi.org/10.1046/j.1529-8817.1998.340486.x</v>
      </c>
      <c r="BG798" t="s">
        <v>74</v>
      </c>
      <c r="BH798" t="s">
        <v>74</v>
      </c>
      <c r="BI798">
        <v>10</v>
      </c>
      <c r="BJ798" t="s">
        <v>4413</v>
      </c>
      <c r="BK798" t="s">
        <v>95</v>
      </c>
      <c r="BL798" t="s">
        <v>4413</v>
      </c>
      <c r="BM798" t="s">
        <v>10649</v>
      </c>
      <c r="BN798" t="s">
        <v>74</v>
      </c>
      <c r="BO798" t="s">
        <v>1089</v>
      </c>
      <c r="BP798" t="s">
        <v>74</v>
      </c>
      <c r="BQ798" t="s">
        <v>74</v>
      </c>
      <c r="BR798" t="s">
        <v>98</v>
      </c>
      <c r="BS798" t="s">
        <v>10650</v>
      </c>
      <c r="BT798" t="str">
        <f>HYPERLINK("https%3A%2F%2Fwww.webofscience.com%2Fwos%2Fwoscc%2Ffull-record%2FWOS:000074730100010","View Full Record in Web of Science")</f>
        <v>View Full Record in Web of Science</v>
      </c>
    </row>
    <row r="799" spans="1:72" x14ac:dyDescent="0.15">
      <c r="A799" t="s">
        <v>72</v>
      </c>
      <c r="B799" t="s">
        <v>10651</v>
      </c>
      <c r="C799" t="s">
        <v>74</v>
      </c>
      <c r="D799" t="s">
        <v>74</v>
      </c>
      <c r="E799" t="s">
        <v>74</v>
      </c>
      <c r="F799" t="s">
        <v>10651</v>
      </c>
      <c r="G799" t="s">
        <v>74</v>
      </c>
      <c r="H799" t="s">
        <v>74</v>
      </c>
      <c r="I799" t="s">
        <v>10652</v>
      </c>
      <c r="J799" t="s">
        <v>4397</v>
      </c>
      <c r="K799" t="s">
        <v>74</v>
      </c>
      <c r="L799" t="s">
        <v>74</v>
      </c>
      <c r="M799" t="s">
        <v>77</v>
      </c>
      <c r="N799" t="s">
        <v>103</v>
      </c>
      <c r="O799" t="s">
        <v>74</v>
      </c>
      <c r="P799" t="s">
        <v>74</v>
      </c>
      <c r="Q799" t="s">
        <v>74</v>
      </c>
      <c r="R799" t="s">
        <v>74</v>
      </c>
      <c r="S799" t="s">
        <v>74</v>
      </c>
      <c r="T799" t="s">
        <v>10653</v>
      </c>
      <c r="U799" t="s">
        <v>10654</v>
      </c>
      <c r="V799" t="s">
        <v>10655</v>
      </c>
      <c r="W799" t="s">
        <v>10645</v>
      </c>
      <c r="X799" t="s">
        <v>10646</v>
      </c>
      <c r="Y799" t="s">
        <v>10656</v>
      </c>
      <c r="Z799" t="s">
        <v>10657</v>
      </c>
      <c r="AA799" t="s">
        <v>74</v>
      </c>
      <c r="AB799" t="s">
        <v>74</v>
      </c>
      <c r="AC799" t="s">
        <v>74</v>
      </c>
      <c r="AD799" t="s">
        <v>74</v>
      </c>
      <c r="AE799" t="s">
        <v>74</v>
      </c>
      <c r="AF799" t="s">
        <v>74</v>
      </c>
      <c r="AG799">
        <v>45</v>
      </c>
      <c r="AH799">
        <v>95</v>
      </c>
      <c r="AI799">
        <v>102</v>
      </c>
      <c r="AJ799">
        <v>5</v>
      </c>
      <c r="AK799">
        <v>27</v>
      </c>
      <c r="AL799" t="s">
        <v>655</v>
      </c>
      <c r="AM799" t="s">
        <v>656</v>
      </c>
      <c r="AN799" t="s">
        <v>657</v>
      </c>
      <c r="AO799" t="s">
        <v>4409</v>
      </c>
      <c r="AP799" t="s">
        <v>6573</v>
      </c>
      <c r="AQ799" t="s">
        <v>74</v>
      </c>
      <c r="AR799" t="s">
        <v>4410</v>
      </c>
      <c r="AS799" t="s">
        <v>4411</v>
      </c>
      <c r="AT799" t="s">
        <v>10131</v>
      </c>
      <c r="AU799">
        <v>1998</v>
      </c>
      <c r="AV799">
        <v>34</v>
      </c>
      <c r="AW799">
        <v>3</v>
      </c>
      <c r="AX799" t="s">
        <v>74</v>
      </c>
      <c r="AY799" t="s">
        <v>74</v>
      </c>
      <c r="AZ799" t="s">
        <v>74</v>
      </c>
      <c r="BA799" t="s">
        <v>74</v>
      </c>
      <c r="BB799">
        <v>496</v>
      </c>
      <c r="BC799">
        <v>503</v>
      </c>
      <c r="BD799" t="s">
        <v>74</v>
      </c>
      <c r="BE799" t="s">
        <v>10658</v>
      </c>
      <c r="BF799" t="str">
        <f>HYPERLINK("http://dx.doi.org/10.1046/j.1529-8817.1998.340496.x","http://dx.doi.org/10.1046/j.1529-8817.1998.340496.x")</f>
        <v>http://dx.doi.org/10.1046/j.1529-8817.1998.340496.x</v>
      </c>
      <c r="BG799" t="s">
        <v>74</v>
      </c>
      <c r="BH799" t="s">
        <v>74</v>
      </c>
      <c r="BI799">
        <v>8</v>
      </c>
      <c r="BJ799" t="s">
        <v>4413</v>
      </c>
      <c r="BK799" t="s">
        <v>95</v>
      </c>
      <c r="BL799" t="s">
        <v>4413</v>
      </c>
      <c r="BM799" t="s">
        <v>10649</v>
      </c>
      <c r="BN799" t="s">
        <v>74</v>
      </c>
      <c r="BO799" t="s">
        <v>74</v>
      </c>
      <c r="BP799" t="s">
        <v>74</v>
      </c>
      <c r="BQ799" t="s">
        <v>74</v>
      </c>
      <c r="BR799" t="s">
        <v>98</v>
      </c>
      <c r="BS799" t="s">
        <v>10659</v>
      </c>
      <c r="BT799" t="str">
        <f>HYPERLINK("https%3A%2F%2Fwww.webofscience.com%2Fwos%2Fwoscc%2Ffull-record%2FWOS:000074730100011","View Full Record in Web of Science")</f>
        <v>View Full Record in Web of Science</v>
      </c>
    </row>
    <row r="800" spans="1:72" x14ac:dyDescent="0.15">
      <c r="A800" t="s">
        <v>72</v>
      </c>
      <c r="B800" t="s">
        <v>10660</v>
      </c>
      <c r="C800" t="s">
        <v>74</v>
      </c>
      <c r="D800" t="s">
        <v>74</v>
      </c>
      <c r="E800" t="s">
        <v>74</v>
      </c>
      <c r="F800" t="s">
        <v>10660</v>
      </c>
      <c r="G800" t="s">
        <v>74</v>
      </c>
      <c r="H800" t="s">
        <v>74</v>
      </c>
      <c r="I800" t="s">
        <v>10661</v>
      </c>
      <c r="J800" t="s">
        <v>4418</v>
      </c>
      <c r="K800" t="s">
        <v>74</v>
      </c>
      <c r="L800" t="s">
        <v>74</v>
      </c>
      <c r="M800" t="s">
        <v>77</v>
      </c>
      <c r="N800" t="s">
        <v>103</v>
      </c>
      <c r="O800" t="s">
        <v>74</v>
      </c>
      <c r="P800" t="s">
        <v>74</v>
      </c>
      <c r="Q800" t="s">
        <v>74</v>
      </c>
      <c r="R800" t="s">
        <v>74</v>
      </c>
      <c r="S800" t="s">
        <v>74</v>
      </c>
      <c r="T800" t="s">
        <v>74</v>
      </c>
      <c r="U800" t="s">
        <v>10662</v>
      </c>
      <c r="V800" t="s">
        <v>10663</v>
      </c>
      <c r="W800" t="s">
        <v>10664</v>
      </c>
      <c r="X800" t="s">
        <v>10665</v>
      </c>
      <c r="Y800" t="s">
        <v>10666</v>
      </c>
      <c r="Z800" t="s">
        <v>74</v>
      </c>
      <c r="AA800" t="s">
        <v>10667</v>
      </c>
      <c r="AB800" t="s">
        <v>74</v>
      </c>
      <c r="AC800" t="s">
        <v>74</v>
      </c>
      <c r="AD800" t="s">
        <v>74</v>
      </c>
      <c r="AE800" t="s">
        <v>74</v>
      </c>
      <c r="AF800" t="s">
        <v>74</v>
      </c>
      <c r="AG800">
        <v>50</v>
      </c>
      <c r="AH800">
        <v>41</v>
      </c>
      <c r="AI800">
        <v>42</v>
      </c>
      <c r="AJ800">
        <v>1</v>
      </c>
      <c r="AK800">
        <v>6</v>
      </c>
      <c r="AL800" t="s">
        <v>1344</v>
      </c>
      <c r="AM800" t="s">
        <v>1345</v>
      </c>
      <c r="AN800" t="s">
        <v>1346</v>
      </c>
      <c r="AO800" t="s">
        <v>4423</v>
      </c>
      <c r="AP800" t="s">
        <v>74</v>
      </c>
      <c r="AQ800" t="s">
        <v>74</v>
      </c>
      <c r="AR800" t="s">
        <v>4424</v>
      </c>
      <c r="AS800" t="s">
        <v>4425</v>
      </c>
      <c r="AT800" t="s">
        <v>10131</v>
      </c>
      <c r="AU800">
        <v>1998</v>
      </c>
      <c r="AV800">
        <v>28</v>
      </c>
      <c r="AW800">
        <v>6</v>
      </c>
      <c r="AX800" t="s">
        <v>74</v>
      </c>
      <c r="AY800" t="s">
        <v>74</v>
      </c>
      <c r="AZ800" t="s">
        <v>74</v>
      </c>
      <c r="BA800" t="s">
        <v>74</v>
      </c>
      <c r="BB800">
        <v>1205</v>
      </c>
      <c r="BC800">
        <v>1223</v>
      </c>
      <c r="BD800" t="s">
        <v>74</v>
      </c>
      <c r="BE800" t="s">
        <v>10668</v>
      </c>
      <c r="BF800" t="str">
        <f>HYPERLINK("http://dx.doi.org/10.1175/1520-0485(1998)028&lt;1205:MOADTI&gt;2.0.CO;2","http://dx.doi.org/10.1175/1520-0485(1998)028&lt;1205:MOADTI&gt;2.0.CO;2")</f>
        <v>http://dx.doi.org/10.1175/1520-0485(1998)028&lt;1205:MOADTI&gt;2.0.CO;2</v>
      </c>
      <c r="BG800" t="s">
        <v>74</v>
      </c>
      <c r="BH800" t="s">
        <v>74</v>
      </c>
      <c r="BI800">
        <v>19</v>
      </c>
      <c r="BJ800" t="s">
        <v>451</v>
      </c>
      <c r="BK800" t="s">
        <v>95</v>
      </c>
      <c r="BL800" t="s">
        <v>451</v>
      </c>
      <c r="BM800" t="s">
        <v>10669</v>
      </c>
      <c r="BN800" t="s">
        <v>74</v>
      </c>
      <c r="BO800" t="s">
        <v>1429</v>
      </c>
      <c r="BP800" t="s">
        <v>74</v>
      </c>
      <c r="BQ800" t="s">
        <v>74</v>
      </c>
      <c r="BR800" t="s">
        <v>98</v>
      </c>
      <c r="BS800" t="s">
        <v>10670</v>
      </c>
      <c r="BT800" t="str">
        <f>HYPERLINK("https%3A%2F%2Fwww.webofscience.com%2Fwos%2Fwoscc%2Ffull-record%2FWOS:000074165600010","View Full Record in Web of Science")</f>
        <v>View Full Record in Web of Science</v>
      </c>
    </row>
    <row r="801" spans="1:72" x14ac:dyDescent="0.15">
      <c r="A801" t="s">
        <v>72</v>
      </c>
      <c r="B801" t="s">
        <v>10671</v>
      </c>
      <c r="C801" t="s">
        <v>74</v>
      </c>
      <c r="D801" t="s">
        <v>74</v>
      </c>
      <c r="E801" t="s">
        <v>74</v>
      </c>
      <c r="F801" t="s">
        <v>10671</v>
      </c>
      <c r="G801" t="s">
        <v>74</v>
      </c>
      <c r="H801" t="s">
        <v>74</v>
      </c>
      <c r="I801" t="s">
        <v>10672</v>
      </c>
      <c r="J801" t="s">
        <v>6624</v>
      </c>
      <c r="K801" t="s">
        <v>74</v>
      </c>
      <c r="L801" t="s">
        <v>74</v>
      </c>
      <c r="M801" t="s">
        <v>77</v>
      </c>
      <c r="N801" t="s">
        <v>103</v>
      </c>
      <c r="O801" t="s">
        <v>74</v>
      </c>
      <c r="P801" t="s">
        <v>74</v>
      </c>
      <c r="Q801" t="s">
        <v>74</v>
      </c>
      <c r="R801" t="s">
        <v>74</v>
      </c>
      <c r="S801" t="s">
        <v>74</v>
      </c>
      <c r="T801" t="s">
        <v>74</v>
      </c>
      <c r="U801" t="s">
        <v>10673</v>
      </c>
      <c r="V801" t="s">
        <v>10674</v>
      </c>
      <c r="W801" t="s">
        <v>10675</v>
      </c>
      <c r="X801" t="s">
        <v>10676</v>
      </c>
      <c r="Y801" t="s">
        <v>10677</v>
      </c>
      <c r="Z801" t="s">
        <v>74</v>
      </c>
      <c r="AA801" t="s">
        <v>74</v>
      </c>
      <c r="AB801" t="s">
        <v>74</v>
      </c>
      <c r="AC801" t="s">
        <v>74</v>
      </c>
      <c r="AD801" t="s">
        <v>74</v>
      </c>
      <c r="AE801" t="s">
        <v>74</v>
      </c>
      <c r="AF801" t="s">
        <v>74</v>
      </c>
      <c r="AG801">
        <v>33</v>
      </c>
      <c r="AH801">
        <v>16</v>
      </c>
      <c r="AI801">
        <v>17</v>
      </c>
      <c r="AJ801">
        <v>0</v>
      </c>
      <c r="AK801">
        <v>2</v>
      </c>
      <c r="AL801" t="s">
        <v>3646</v>
      </c>
      <c r="AM801" t="s">
        <v>3647</v>
      </c>
      <c r="AN801" t="s">
        <v>3648</v>
      </c>
      <c r="AO801" t="s">
        <v>6630</v>
      </c>
      <c r="AP801" t="s">
        <v>74</v>
      </c>
      <c r="AQ801" t="s">
        <v>74</v>
      </c>
      <c r="AR801" t="s">
        <v>6631</v>
      </c>
      <c r="AS801" t="s">
        <v>6632</v>
      </c>
      <c r="AT801" t="s">
        <v>10131</v>
      </c>
      <c r="AU801">
        <v>1998</v>
      </c>
      <c r="AV801">
        <v>103</v>
      </c>
      <c r="AW801">
        <v>6</v>
      </c>
      <c r="AX801" t="s">
        <v>74</v>
      </c>
      <c r="AY801" t="s">
        <v>74</v>
      </c>
      <c r="AZ801" t="s">
        <v>74</v>
      </c>
      <c r="BA801" t="s">
        <v>74</v>
      </c>
      <c r="BB801">
        <v>3268</v>
      </c>
      <c r="BC801">
        <v>3280</v>
      </c>
      <c r="BD801" t="s">
        <v>74</v>
      </c>
      <c r="BE801" t="s">
        <v>10678</v>
      </c>
      <c r="BF801" t="str">
        <f>HYPERLINK("http://dx.doi.org/10.1121/1.423077","http://dx.doi.org/10.1121/1.423077")</f>
        <v>http://dx.doi.org/10.1121/1.423077</v>
      </c>
      <c r="BG801" t="s">
        <v>74</v>
      </c>
      <c r="BH801" t="s">
        <v>74</v>
      </c>
      <c r="BI801">
        <v>13</v>
      </c>
      <c r="BJ801" t="s">
        <v>6633</v>
      </c>
      <c r="BK801" t="s">
        <v>95</v>
      </c>
      <c r="BL801" t="s">
        <v>6633</v>
      </c>
      <c r="BM801" t="s">
        <v>10679</v>
      </c>
      <c r="BN801" t="s">
        <v>74</v>
      </c>
      <c r="BO801" t="s">
        <v>74</v>
      </c>
      <c r="BP801" t="s">
        <v>74</v>
      </c>
      <c r="BQ801" t="s">
        <v>74</v>
      </c>
      <c r="BR801" t="s">
        <v>98</v>
      </c>
      <c r="BS801" t="s">
        <v>10680</v>
      </c>
      <c r="BT801" t="str">
        <f>HYPERLINK("https%3A%2F%2Fwww.webofscience.com%2Fwos%2Fwoscc%2Ffull-record%2FWOS:000074151200016","View Full Record in Web of Science")</f>
        <v>View Full Record in Web of Science</v>
      </c>
    </row>
    <row r="802" spans="1:72" x14ac:dyDescent="0.15">
      <c r="A802" t="s">
        <v>72</v>
      </c>
      <c r="B802" t="s">
        <v>10681</v>
      </c>
      <c r="C802" t="s">
        <v>74</v>
      </c>
      <c r="D802" t="s">
        <v>74</v>
      </c>
      <c r="E802" t="s">
        <v>74</v>
      </c>
      <c r="F802" t="s">
        <v>10681</v>
      </c>
      <c r="G802" t="s">
        <v>74</v>
      </c>
      <c r="H802" t="s">
        <v>74</v>
      </c>
      <c r="I802" t="s">
        <v>10682</v>
      </c>
      <c r="J802" t="s">
        <v>10683</v>
      </c>
      <c r="K802" t="s">
        <v>74</v>
      </c>
      <c r="L802" t="s">
        <v>74</v>
      </c>
      <c r="M802" t="s">
        <v>77</v>
      </c>
      <c r="N802" t="s">
        <v>103</v>
      </c>
      <c r="O802" t="s">
        <v>74</v>
      </c>
      <c r="P802" t="s">
        <v>74</v>
      </c>
      <c r="Q802" t="s">
        <v>74</v>
      </c>
      <c r="R802" t="s">
        <v>74</v>
      </c>
      <c r="S802" t="s">
        <v>74</v>
      </c>
      <c r="T802" t="s">
        <v>10684</v>
      </c>
      <c r="U802" t="s">
        <v>10685</v>
      </c>
      <c r="V802" t="s">
        <v>10686</v>
      </c>
      <c r="W802" t="s">
        <v>10687</v>
      </c>
      <c r="X802" t="s">
        <v>10688</v>
      </c>
      <c r="Y802" t="s">
        <v>10689</v>
      </c>
      <c r="Z802" t="s">
        <v>10690</v>
      </c>
      <c r="AA802" t="s">
        <v>74</v>
      </c>
      <c r="AB802" t="s">
        <v>10691</v>
      </c>
      <c r="AC802" t="s">
        <v>74</v>
      </c>
      <c r="AD802" t="s">
        <v>74</v>
      </c>
      <c r="AE802" t="s">
        <v>74</v>
      </c>
      <c r="AF802" t="s">
        <v>74</v>
      </c>
      <c r="AG802">
        <v>32</v>
      </c>
      <c r="AH802">
        <v>108</v>
      </c>
      <c r="AI802">
        <v>128</v>
      </c>
      <c r="AJ802">
        <v>0</v>
      </c>
      <c r="AK802">
        <v>17</v>
      </c>
      <c r="AL802" t="s">
        <v>10692</v>
      </c>
      <c r="AM802" t="s">
        <v>4407</v>
      </c>
      <c r="AN802" t="s">
        <v>10693</v>
      </c>
      <c r="AO802" t="s">
        <v>10694</v>
      </c>
      <c r="AP802" t="s">
        <v>74</v>
      </c>
      <c r="AQ802" t="s">
        <v>74</v>
      </c>
      <c r="AR802" t="s">
        <v>10695</v>
      </c>
      <c r="AS802" t="s">
        <v>10696</v>
      </c>
      <c r="AT802" t="s">
        <v>10131</v>
      </c>
      <c r="AU802">
        <v>1998</v>
      </c>
      <c r="AV802">
        <v>17</v>
      </c>
      <c r="AW802">
        <v>2</v>
      </c>
      <c r="AX802" t="s">
        <v>74</v>
      </c>
      <c r="AY802" t="s">
        <v>74</v>
      </c>
      <c r="AZ802" t="s">
        <v>74</v>
      </c>
      <c r="BA802" t="s">
        <v>74</v>
      </c>
      <c r="BB802">
        <v>143</v>
      </c>
      <c r="BC802">
        <v>154</v>
      </c>
      <c r="BD802" t="s">
        <v>74</v>
      </c>
      <c r="BE802" t="s">
        <v>10697</v>
      </c>
      <c r="BF802" t="str">
        <f>HYPERLINK("http://dx.doi.org/10.2307/1467958","http://dx.doi.org/10.2307/1467958")</f>
        <v>http://dx.doi.org/10.2307/1467958</v>
      </c>
      <c r="BG802" t="s">
        <v>74</v>
      </c>
      <c r="BH802" t="s">
        <v>74</v>
      </c>
      <c r="BI802">
        <v>12</v>
      </c>
      <c r="BJ802" t="s">
        <v>3619</v>
      </c>
      <c r="BK802" t="s">
        <v>95</v>
      </c>
      <c r="BL802" t="s">
        <v>2191</v>
      </c>
      <c r="BM802" t="s">
        <v>10698</v>
      </c>
      <c r="BN802" t="s">
        <v>74</v>
      </c>
      <c r="BO802" t="s">
        <v>74</v>
      </c>
      <c r="BP802" t="s">
        <v>74</v>
      </c>
      <c r="BQ802" t="s">
        <v>74</v>
      </c>
      <c r="BR802" t="s">
        <v>98</v>
      </c>
      <c r="BS802" t="s">
        <v>10699</v>
      </c>
      <c r="BT802" t="str">
        <f>HYPERLINK("https%3A%2F%2Fwww.webofscience.com%2Fwos%2Fwoscc%2Ffull-record%2FWOS:000075262700001","View Full Record in Web of Science")</f>
        <v>View Full Record in Web of Science</v>
      </c>
    </row>
    <row r="803" spans="1:72" x14ac:dyDescent="0.15">
      <c r="A803" t="s">
        <v>72</v>
      </c>
      <c r="B803" t="s">
        <v>10700</v>
      </c>
      <c r="C803" t="s">
        <v>74</v>
      </c>
      <c r="D803" t="s">
        <v>74</v>
      </c>
      <c r="E803" t="s">
        <v>74</v>
      </c>
      <c r="F803" t="s">
        <v>10700</v>
      </c>
      <c r="G803" t="s">
        <v>74</v>
      </c>
      <c r="H803" t="s">
        <v>74</v>
      </c>
      <c r="I803" t="s">
        <v>10701</v>
      </c>
      <c r="J803" t="s">
        <v>10702</v>
      </c>
      <c r="K803" t="s">
        <v>74</v>
      </c>
      <c r="L803" t="s">
        <v>74</v>
      </c>
      <c r="M803" t="s">
        <v>77</v>
      </c>
      <c r="N803" t="s">
        <v>103</v>
      </c>
      <c r="O803" t="s">
        <v>74</v>
      </c>
      <c r="P803" t="s">
        <v>74</v>
      </c>
      <c r="Q803" t="s">
        <v>74</v>
      </c>
      <c r="R803" t="s">
        <v>74</v>
      </c>
      <c r="S803" t="s">
        <v>74</v>
      </c>
      <c r="T803" t="s">
        <v>74</v>
      </c>
      <c r="U803" t="s">
        <v>10703</v>
      </c>
      <c r="V803" t="s">
        <v>10704</v>
      </c>
      <c r="W803" t="s">
        <v>10705</v>
      </c>
      <c r="X803" t="s">
        <v>10706</v>
      </c>
      <c r="Y803" t="s">
        <v>10707</v>
      </c>
      <c r="Z803" t="s">
        <v>74</v>
      </c>
      <c r="AA803" t="s">
        <v>74</v>
      </c>
      <c r="AB803" t="s">
        <v>10708</v>
      </c>
      <c r="AC803" t="s">
        <v>74</v>
      </c>
      <c r="AD803" t="s">
        <v>74</v>
      </c>
      <c r="AE803" t="s">
        <v>74</v>
      </c>
      <c r="AF803" t="s">
        <v>74</v>
      </c>
      <c r="AG803">
        <v>33</v>
      </c>
      <c r="AH803">
        <v>61</v>
      </c>
      <c r="AI803">
        <v>70</v>
      </c>
      <c r="AJ803">
        <v>0</v>
      </c>
      <c r="AK803">
        <v>11</v>
      </c>
      <c r="AL803" t="s">
        <v>10709</v>
      </c>
      <c r="AM803" t="s">
        <v>5026</v>
      </c>
      <c r="AN803" t="s">
        <v>10710</v>
      </c>
      <c r="AO803" t="s">
        <v>10711</v>
      </c>
      <c r="AP803" t="s">
        <v>74</v>
      </c>
      <c r="AQ803" t="s">
        <v>74</v>
      </c>
      <c r="AR803" t="s">
        <v>10712</v>
      </c>
      <c r="AS803" t="s">
        <v>10713</v>
      </c>
      <c r="AT803" t="s">
        <v>10131</v>
      </c>
      <c r="AU803">
        <v>1998</v>
      </c>
      <c r="AV803">
        <v>18</v>
      </c>
      <c r="AW803">
        <v>2</v>
      </c>
      <c r="AX803" t="s">
        <v>74</v>
      </c>
      <c r="AY803" t="s">
        <v>74</v>
      </c>
      <c r="AZ803" t="s">
        <v>74</v>
      </c>
      <c r="BA803" t="s">
        <v>74</v>
      </c>
      <c r="BB803">
        <v>385</v>
      </c>
      <c r="BC803">
        <v>390</v>
      </c>
      <c r="BD803" t="s">
        <v>74</v>
      </c>
      <c r="BE803" t="s">
        <v>10714</v>
      </c>
      <c r="BF803" t="str">
        <f>HYPERLINK("http://dx.doi.org/10.1080/02724634.1998.10011066","http://dx.doi.org/10.1080/02724634.1998.10011066")</f>
        <v>http://dx.doi.org/10.1080/02724634.1998.10011066</v>
      </c>
      <c r="BG803" t="s">
        <v>74</v>
      </c>
      <c r="BH803" t="s">
        <v>74</v>
      </c>
      <c r="BI803">
        <v>6</v>
      </c>
      <c r="BJ803" t="s">
        <v>2287</v>
      </c>
      <c r="BK803" t="s">
        <v>95</v>
      </c>
      <c r="BL803" t="s">
        <v>2287</v>
      </c>
      <c r="BM803" t="s">
        <v>10715</v>
      </c>
      <c r="BN803" t="s">
        <v>74</v>
      </c>
      <c r="BO803" t="s">
        <v>74</v>
      </c>
      <c r="BP803" t="s">
        <v>74</v>
      </c>
      <c r="BQ803" t="s">
        <v>74</v>
      </c>
      <c r="BR803" t="s">
        <v>98</v>
      </c>
      <c r="BS803" t="s">
        <v>10716</v>
      </c>
      <c r="BT803" t="str">
        <f>HYPERLINK("https%3A%2F%2Fwww.webofscience.com%2Fwos%2Fwoscc%2Ffull-record%2FWOS:000074337000013","View Full Record in Web of Science")</f>
        <v>View Full Record in Web of Science</v>
      </c>
    </row>
    <row r="804" spans="1:72" x14ac:dyDescent="0.15">
      <c r="A804" t="s">
        <v>72</v>
      </c>
      <c r="B804" t="s">
        <v>10717</v>
      </c>
      <c r="C804" t="s">
        <v>74</v>
      </c>
      <c r="D804" t="s">
        <v>74</v>
      </c>
      <c r="E804" t="s">
        <v>74</v>
      </c>
      <c r="F804" t="s">
        <v>10717</v>
      </c>
      <c r="G804" t="s">
        <v>74</v>
      </c>
      <c r="H804" t="s">
        <v>74</v>
      </c>
      <c r="I804" t="s">
        <v>10718</v>
      </c>
      <c r="J804" t="s">
        <v>1771</v>
      </c>
      <c r="K804" t="s">
        <v>74</v>
      </c>
      <c r="L804" t="s">
        <v>74</v>
      </c>
      <c r="M804" t="s">
        <v>77</v>
      </c>
      <c r="N804" t="s">
        <v>103</v>
      </c>
      <c r="O804" t="s">
        <v>74</v>
      </c>
      <c r="P804" t="s">
        <v>74</v>
      </c>
      <c r="Q804" t="s">
        <v>74</v>
      </c>
      <c r="R804" t="s">
        <v>74</v>
      </c>
      <c r="S804" t="s">
        <v>74</v>
      </c>
      <c r="T804" t="s">
        <v>74</v>
      </c>
      <c r="U804" t="s">
        <v>10719</v>
      </c>
      <c r="V804" t="s">
        <v>10720</v>
      </c>
      <c r="W804" t="s">
        <v>9189</v>
      </c>
      <c r="X804" t="s">
        <v>9190</v>
      </c>
      <c r="Y804" t="s">
        <v>10721</v>
      </c>
      <c r="Z804" t="s">
        <v>74</v>
      </c>
      <c r="AA804" t="s">
        <v>9193</v>
      </c>
      <c r="AB804" t="s">
        <v>9194</v>
      </c>
      <c r="AC804" t="s">
        <v>74</v>
      </c>
      <c r="AD804" t="s">
        <v>74</v>
      </c>
      <c r="AE804" t="s">
        <v>74</v>
      </c>
      <c r="AF804" t="s">
        <v>74</v>
      </c>
      <c r="AG804">
        <v>46</v>
      </c>
      <c r="AH804">
        <v>91</v>
      </c>
      <c r="AI804">
        <v>98</v>
      </c>
      <c r="AJ804">
        <v>1</v>
      </c>
      <c r="AK804">
        <v>12</v>
      </c>
      <c r="AL804" t="s">
        <v>4482</v>
      </c>
      <c r="AM804" t="s">
        <v>4483</v>
      </c>
      <c r="AN804" t="s">
        <v>4484</v>
      </c>
      <c r="AO804" t="s">
        <v>1778</v>
      </c>
      <c r="AP804" t="s">
        <v>74</v>
      </c>
      <c r="AQ804" t="s">
        <v>74</v>
      </c>
      <c r="AR804" t="s">
        <v>1780</v>
      </c>
      <c r="AS804" t="s">
        <v>1781</v>
      </c>
      <c r="AT804" t="s">
        <v>10131</v>
      </c>
      <c r="AU804">
        <v>1998</v>
      </c>
      <c r="AV804">
        <v>43</v>
      </c>
      <c r="AW804">
        <v>4</v>
      </c>
      <c r="AX804" t="s">
        <v>74</v>
      </c>
      <c r="AY804" t="s">
        <v>74</v>
      </c>
      <c r="AZ804" t="s">
        <v>74</v>
      </c>
      <c r="BA804" t="s">
        <v>74</v>
      </c>
      <c r="BB804">
        <v>607</v>
      </c>
      <c r="BC804">
        <v>617</v>
      </c>
      <c r="BD804" t="s">
        <v>74</v>
      </c>
      <c r="BE804" t="s">
        <v>10722</v>
      </c>
      <c r="BF804" t="str">
        <f>HYPERLINK("http://dx.doi.org/10.4319/lo.1998.43.4.0607","http://dx.doi.org/10.4319/lo.1998.43.4.0607")</f>
        <v>http://dx.doi.org/10.4319/lo.1998.43.4.0607</v>
      </c>
      <c r="BG804" t="s">
        <v>74</v>
      </c>
      <c r="BH804" t="s">
        <v>74</v>
      </c>
      <c r="BI804">
        <v>11</v>
      </c>
      <c r="BJ804" t="s">
        <v>1783</v>
      </c>
      <c r="BK804" t="s">
        <v>95</v>
      </c>
      <c r="BL804" t="s">
        <v>1128</v>
      </c>
      <c r="BM804" t="s">
        <v>10723</v>
      </c>
      <c r="BN804" t="s">
        <v>74</v>
      </c>
      <c r="BO804" t="s">
        <v>483</v>
      </c>
      <c r="BP804" t="s">
        <v>74</v>
      </c>
      <c r="BQ804" t="s">
        <v>74</v>
      </c>
      <c r="BR804" t="s">
        <v>98</v>
      </c>
      <c r="BS804" t="s">
        <v>10724</v>
      </c>
      <c r="BT804" t="str">
        <f>HYPERLINK("https%3A%2F%2Fwww.webofscience.com%2Fwos%2Fwoscc%2Ffull-record%2FWOS:000075320300007","View Full Record in Web of Science")</f>
        <v>View Full Record in Web of Science</v>
      </c>
    </row>
    <row r="805" spans="1:72" x14ac:dyDescent="0.15">
      <c r="A805" t="s">
        <v>72</v>
      </c>
      <c r="B805" t="s">
        <v>10725</v>
      </c>
      <c r="C805" t="s">
        <v>74</v>
      </c>
      <c r="D805" t="s">
        <v>74</v>
      </c>
      <c r="E805" t="s">
        <v>74</v>
      </c>
      <c r="F805" t="s">
        <v>10725</v>
      </c>
      <c r="G805" t="s">
        <v>74</v>
      </c>
      <c r="H805" t="s">
        <v>74</v>
      </c>
      <c r="I805" t="s">
        <v>10726</v>
      </c>
      <c r="J805" t="s">
        <v>1771</v>
      </c>
      <c r="K805" t="s">
        <v>74</v>
      </c>
      <c r="L805" t="s">
        <v>74</v>
      </c>
      <c r="M805" t="s">
        <v>77</v>
      </c>
      <c r="N805" t="s">
        <v>103</v>
      </c>
      <c r="O805" t="s">
        <v>74</v>
      </c>
      <c r="P805" t="s">
        <v>74</v>
      </c>
      <c r="Q805" t="s">
        <v>74</v>
      </c>
      <c r="R805" t="s">
        <v>74</v>
      </c>
      <c r="S805" t="s">
        <v>74</v>
      </c>
      <c r="T805" t="s">
        <v>74</v>
      </c>
      <c r="U805" t="s">
        <v>10727</v>
      </c>
      <c r="V805" t="s">
        <v>10728</v>
      </c>
      <c r="W805" t="s">
        <v>10729</v>
      </c>
      <c r="X805" t="s">
        <v>10730</v>
      </c>
      <c r="Y805" t="s">
        <v>10731</v>
      </c>
      <c r="Z805" t="s">
        <v>74</v>
      </c>
      <c r="AA805" t="s">
        <v>4789</v>
      </c>
      <c r="AB805" t="s">
        <v>10732</v>
      </c>
      <c r="AC805" t="s">
        <v>74</v>
      </c>
      <c r="AD805" t="s">
        <v>74</v>
      </c>
      <c r="AE805" t="s">
        <v>74</v>
      </c>
      <c r="AF805" t="s">
        <v>74</v>
      </c>
      <c r="AG805">
        <v>29</v>
      </c>
      <c r="AH805">
        <v>65</v>
      </c>
      <c r="AI805">
        <v>75</v>
      </c>
      <c r="AJ805">
        <v>0</v>
      </c>
      <c r="AK805">
        <v>17</v>
      </c>
      <c r="AL805" t="s">
        <v>655</v>
      </c>
      <c r="AM805" t="s">
        <v>656</v>
      </c>
      <c r="AN805" t="s">
        <v>657</v>
      </c>
      <c r="AO805" t="s">
        <v>1778</v>
      </c>
      <c r="AP805" t="s">
        <v>1779</v>
      </c>
      <c r="AQ805" t="s">
        <v>74</v>
      </c>
      <c r="AR805" t="s">
        <v>1780</v>
      </c>
      <c r="AS805" t="s">
        <v>1781</v>
      </c>
      <c r="AT805" t="s">
        <v>10131</v>
      </c>
      <c r="AU805">
        <v>1998</v>
      </c>
      <c r="AV805">
        <v>43</v>
      </c>
      <c r="AW805">
        <v>4</v>
      </c>
      <c r="AX805" t="s">
        <v>74</v>
      </c>
      <c r="AY805" t="s">
        <v>74</v>
      </c>
      <c r="AZ805" t="s">
        <v>74</v>
      </c>
      <c r="BA805" t="s">
        <v>74</v>
      </c>
      <c r="BB805">
        <v>618</v>
      </c>
      <c r="BC805">
        <v>624</v>
      </c>
      <c r="BD805" t="s">
        <v>74</v>
      </c>
      <c r="BE805" t="s">
        <v>10733</v>
      </c>
      <c r="BF805" t="str">
        <f>HYPERLINK("http://dx.doi.org/10.4319/lo.1998.43.4.0618","http://dx.doi.org/10.4319/lo.1998.43.4.0618")</f>
        <v>http://dx.doi.org/10.4319/lo.1998.43.4.0618</v>
      </c>
      <c r="BG805" t="s">
        <v>74</v>
      </c>
      <c r="BH805" t="s">
        <v>74</v>
      </c>
      <c r="BI805">
        <v>7</v>
      </c>
      <c r="BJ805" t="s">
        <v>1783</v>
      </c>
      <c r="BK805" t="s">
        <v>95</v>
      </c>
      <c r="BL805" t="s">
        <v>1128</v>
      </c>
      <c r="BM805" t="s">
        <v>10723</v>
      </c>
      <c r="BN805" t="s">
        <v>74</v>
      </c>
      <c r="BO805" t="s">
        <v>1089</v>
      </c>
      <c r="BP805" t="s">
        <v>74</v>
      </c>
      <c r="BQ805" t="s">
        <v>74</v>
      </c>
      <c r="BR805" t="s">
        <v>98</v>
      </c>
      <c r="BS805" t="s">
        <v>10734</v>
      </c>
      <c r="BT805" t="str">
        <f>HYPERLINK("https%3A%2F%2Fwww.webofscience.com%2Fwos%2Fwoscc%2Ffull-record%2FWOS:000075320300008","View Full Record in Web of Science")</f>
        <v>View Full Record in Web of Science</v>
      </c>
    </row>
    <row r="806" spans="1:72" x14ac:dyDescent="0.15">
      <c r="A806" t="s">
        <v>72</v>
      </c>
      <c r="B806" t="s">
        <v>10735</v>
      </c>
      <c r="C806" t="s">
        <v>74</v>
      </c>
      <c r="D806" t="s">
        <v>74</v>
      </c>
      <c r="E806" t="s">
        <v>74</v>
      </c>
      <c r="F806" t="s">
        <v>10735</v>
      </c>
      <c r="G806" t="s">
        <v>74</v>
      </c>
      <c r="H806" t="s">
        <v>74</v>
      </c>
      <c r="I806" t="s">
        <v>10736</v>
      </c>
      <c r="J806" t="s">
        <v>1771</v>
      </c>
      <c r="K806" t="s">
        <v>74</v>
      </c>
      <c r="L806" t="s">
        <v>74</v>
      </c>
      <c r="M806" t="s">
        <v>77</v>
      </c>
      <c r="N806" t="s">
        <v>103</v>
      </c>
      <c r="O806" t="s">
        <v>74</v>
      </c>
      <c r="P806" t="s">
        <v>74</v>
      </c>
      <c r="Q806" t="s">
        <v>74</v>
      </c>
      <c r="R806" t="s">
        <v>74</v>
      </c>
      <c r="S806" t="s">
        <v>74</v>
      </c>
      <c r="T806" t="s">
        <v>74</v>
      </c>
      <c r="U806" t="s">
        <v>10737</v>
      </c>
      <c r="V806" t="s">
        <v>10738</v>
      </c>
      <c r="W806" t="s">
        <v>10739</v>
      </c>
      <c r="X806" t="s">
        <v>10740</v>
      </c>
      <c r="Y806" t="s">
        <v>10741</v>
      </c>
      <c r="Z806" t="s">
        <v>74</v>
      </c>
      <c r="AA806" t="s">
        <v>10742</v>
      </c>
      <c r="AB806" t="s">
        <v>10743</v>
      </c>
      <c r="AC806" t="s">
        <v>74</v>
      </c>
      <c r="AD806" t="s">
        <v>74</v>
      </c>
      <c r="AE806" t="s">
        <v>74</v>
      </c>
      <c r="AF806" t="s">
        <v>74</v>
      </c>
      <c r="AG806">
        <v>30</v>
      </c>
      <c r="AH806">
        <v>18</v>
      </c>
      <c r="AI806">
        <v>19</v>
      </c>
      <c r="AJ806">
        <v>0</v>
      </c>
      <c r="AK806">
        <v>4</v>
      </c>
      <c r="AL806" t="s">
        <v>4482</v>
      </c>
      <c r="AM806" t="s">
        <v>4483</v>
      </c>
      <c r="AN806" t="s">
        <v>4484</v>
      </c>
      <c r="AO806" t="s">
        <v>1778</v>
      </c>
      <c r="AP806" t="s">
        <v>74</v>
      </c>
      <c r="AQ806" t="s">
        <v>74</v>
      </c>
      <c r="AR806" t="s">
        <v>1780</v>
      </c>
      <c r="AS806" t="s">
        <v>1781</v>
      </c>
      <c r="AT806" t="s">
        <v>10131</v>
      </c>
      <c r="AU806">
        <v>1998</v>
      </c>
      <c r="AV806">
        <v>43</v>
      </c>
      <c r="AW806">
        <v>4</v>
      </c>
      <c r="AX806" t="s">
        <v>74</v>
      </c>
      <c r="AY806" t="s">
        <v>74</v>
      </c>
      <c r="AZ806" t="s">
        <v>74</v>
      </c>
      <c r="BA806" t="s">
        <v>74</v>
      </c>
      <c r="BB806">
        <v>625</v>
      </c>
      <c r="BC806">
        <v>635</v>
      </c>
      <c r="BD806" t="s">
        <v>74</v>
      </c>
      <c r="BE806" t="s">
        <v>10744</v>
      </c>
      <c r="BF806" t="str">
        <f>HYPERLINK("http://dx.doi.org/10.4319/lo.1998.43.4.0625","http://dx.doi.org/10.4319/lo.1998.43.4.0625")</f>
        <v>http://dx.doi.org/10.4319/lo.1998.43.4.0625</v>
      </c>
      <c r="BG806" t="s">
        <v>74</v>
      </c>
      <c r="BH806" t="s">
        <v>74</v>
      </c>
      <c r="BI806">
        <v>11</v>
      </c>
      <c r="BJ806" t="s">
        <v>1783</v>
      </c>
      <c r="BK806" t="s">
        <v>95</v>
      </c>
      <c r="BL806" t="s">
        <v>1128</v>
      </c>
      <c r="BM806" t="s">
        <v>10723</v>
      </c>
      <c r="BN806" t="s">
        <v>74</v>
      </c>
      <c r="BO806" t="s">
        <v>1089</v>
      </c>
      <c r="BP806" t="s">
        <v>74</v>
      </c>
      <c r="BQ806" t="s">
        <v>74</v>
      </c>
      <c r="BR806" t="s">
        <v>98</v>
      </c>
      <c r="BS806" t="s">
        <v>10745</v>
      </c>
      <c r="BT806" t="str">
        <f>HYPERLINK("https%3A%2F%2Fwww.webofscience.com%2Fwos%2Fwoscc%2Ffull-record%2FWOS:000075320300009","View Full Record in Web of Science")</f>
        <v>View Full Record in Web of Science</v>
      </c>
    </row>
    <row r="807" spans="1:72" x14ac:dyDescent="0.15">
      <c r="A807" t="s">
        <v>72</v>
      </c>
      <c r="B807" t="s">
        <v>10746</v>
      </c>
      <c r="C807" t="s">
        <v>74</v>
      </c>
      <c r="D807" t="s">
        <v>74</v>
      </c>
      <c r="E807" t="s">
        <v>74</v>
      </c>
      <c r="F807" t="s">
        <v>10746</v>
      </c>
      <c r="G807" t="s">
        <v>74</v>
      </c>
      <c r="H807" t="s">
        <v>74</v>
      </c>
      <c r="I807" t="s">
        <v>10747</v>
      </c>
      <c r="J807" t="s">
        <v>1842</v>
      </c>
      <c r="K807" t="s">
        <v>74</v>
      </c>
      <c r="L807" t="s">
        <v>74</v>
      </c>
      <c r="M807" t="s">
        <v>77</v>
      </c>
      <c r="N807" t="s">
        <v>103</v>
      </c>
      <c r="O807" t="s">
        <v>74</v>
      </c>
      <c r="P807" t="s">
        <v>74</v>
      </c>
      <c r="Q807" t="s">
        <v>74</v>
      </c>
      <c r="R807" t="s">
        <v>74</v>
      </c>
      <c r="S807" t="s">
        <v>74</v>
      </c>
      <c r="T807" t="s">
        <v>74</v>
      </c>
      <c r="U807" t="s">
        <v>10748</v>
      </c>
      <c r="V807" t="s">
        <v>10749</v>
      </c>
      <c r="W807" t="s">
        <v>1437</v>
      </c>
      <c r="X807" t="s">
        <v>628</v>
      </c>
      <c r="Y807" t="s">
        <v>9626</v>
      </c>
      <c r="Z807" t="s">
        <v>74</v>
      </c>
      <c r="AA807" t="s">
        <v>74</v>
      </c>
      <c r="AB807" t="s">
        <v>74</v>
      </c>
      <c r="AC807" t="s">
        <v>74</v>
      </c>
      <c r="AD807" t="s">
        <v>74</v>
      </c>
      <c r="AE807" t="s">
        <v>74</v>
      </c>
      <c r="AF807" t="s">
        <v>74</v>
      </c>
      <c r="AG807">
        <v>28</v>
      </c>
      <c r="AH807">
        <v>30</v>
      </c>
      <c r="AI807">
        <v>33</v>
      </c>
      <c r="AJ807">
        <v>0</v>
      </c>
      <c r="AK807">
        <v>3</v>
      </c>
      <c r="AL807" t="s">
        <v>887</v>
      </c>
      <c r="AM807" t="s">
        <v>278</v>
      </c>
      <c r="AN807" t="s">
        <v>888</v>
      </c>
      <c r="AO807" t="s">
        <v>1848</v>
      </c>
      <c r="AP807" t="s">
        <v>74</v>
      </c>
      <c r="AQ807" t="s">
        <v>74</v>
      </c>
      <c r="AR807" t="s">
        <v>1849</v>
      </c>
      <c r="AS807" t="s">
        <v>1850</v>
      </c>
      <c r="AT807" t="s">
        <v>10131</v>
      </c>
      <c r="AU807">
        <v>1998</v>
      </c>
      <c r="AV807">
        <v>131</v>
      </c>
      <c r="AW807">
        <v>3</v>
      </c>
      <c r="AX807" t="s">
        <v>74</v>
      </c>
      <c r="AY807" t="s">
        <v>74</v>
      </c>
      <c r="AZ807" t="s">
        <v>74</v>
      </c>
      <c r="BA807" t="s">
        <v>74</v>
      </c>
      <c r="BB807">
        <v>479</v>
      </c>
      <c r="BC807">
        <v>487</v>
      </c>
      <c r="BD807" t="s">
        <v>74</v>
      </c>
      <c r="BE807" t="s">
        <v>10750</v>
      </c>
      <c r="BF807" t="str">
        <f>HYPERLINK("http://dx.doi.org/10.1007/s002270050339","http://dx.doi.org/10.1007/s002270050339")</f>
        <v>http://dx.doi.org/10.1007/s002270050339</v>
      </c>
      <c r="BG807" t="s">
        <v>74</v>
      </c>
      <c r="BH807" t="s">
        <v>74</v>
      </c>
      <c r="BI807">
        <v>9</v>
      </c>
      <c r="BJ807" t="s">
        <v>212</v>
      </c>
      <c r="BK807" t="s">
        <v>95</v>
      </c>
      <c r="BL807" t="s">
        <v>212</v>
      </c>
      <c r="BM807" t="s">
        <v>10751</v>
      </c>
      <c r="BN807" t="s">
        <v>74</v>
      </c>
      <c r="BO807" t="s">
        <v>74</v>
      </c>
      <c r="BP807" t="s">
        <v>74</v>
      </c>
      <c r="BQ807" t="s">
        <v>74</v>
      </c>
      <c r="BR807" t="s">
        <v>98</v>
      </c>
      <c r="BS807" t="s">
        <v>10752</v>
      </c>
      <c r="BT807" t="str">
        <f>HYPERLINK("https%3A%2F%2Fwww.webofscience.com%2Fwos%2Fwoscc%2Ffull-record%2FWOS:000075378700008","View Full Record in Web of Science")</f>
        <v>View Full Record in Web of Science</v>
      </c>
    </row>
    <row r="808" spans="1:72" x14ac:dyDescent="0.15">
      <c r="A808" t="s">
        <v>72</v>
      </c>
      <c r="B808" t="s">
        <v>10753</v>
      </c>
      <c r="C808" t="s">
        <v>74</v>
      </c>
      <c r="D808" t="s">
        <v>74</v>
      </c>
      <c r="E808" t="s">
        <v>74</v>
      </c>
      <c r="F808" t="s">
        <v>10753</v>
      </c>
      <c r="G808" t="s">
        <v>74</v>
      </c>
      <c r="H808" t="s">
        <v>74</v>
      </c>
      <c r="I808" t="s">
        <v>10754</v>
      </c>
      <c r="J808" t="s">
        <v>1842</v>
      </c>
      <c r="K808" t="s">
        <v>74</v>
      </c>
      <c r="L808" t="s">
        <v>74</v>
      </c>
      <c r="M808" t="s">
        <v>77</v>
      </c>
      <c r="N808" t="s">
        <v>103</v>
      </c>
      <c r="O808" t="s">
        <v>74</v>
      </c>
      <c r="P808" t="s">
        <v>74</v>
      </c>
      <c r="Q808" t="s">
        <v>74</v>
      </c>
      <c r="R808" t="s">
        <v>74</v>
      </c>
      <c r="S808" t="s">
        <v>74</v>
      </c>
      <c r="T808" t="s">
        <v>74</v>
      </c>
      <c r="U808" t="s">
        <v>10755</v>
      </c>
      <c r="V808" t="s">
        <v>10756</v>
      </c>
      <c r="W808" t="s">
        <v>10757</v>
      </c>
      <c r="X808" t="s">
        <v>10758</v>
      </c>
      <c r="Y808" t="s">
        <v>10759</v>
      </c>
      <c r="Z808" t="s">
        <v>74</v>
      </c>
      <c r="AA808" t="s">
        <v>10760</v>
      </c>
      <c r="AB808" t="s">
        <v>10761</v>
      </c>
      <c r="AC808" t="s">
        <v>74</v>
      </c>
      <c r="AD808" t="s">
        <v>74</v>
      </c>
      <c r="AE808" t="s">
        <v>74</v>
      </c>
      <c r="AF808" t="s">
        <v>74</v>
      </c>
      <c r="AG808">
        <v>40</v>
      </c>
      <c r="AH808">
        <v>36</v>
      </c>
      <c r="AI808">
        <v>40</v>
      </c>
      <c r="AJ808">
        <v>0</v>
      </c>
      <c r="AK808">
        <v>17</v>
      </c>
      <c r="AL808" t="s">
        <v>1059</v>
      </c>
      <c r="AM808" t="s">
        <v>1060</v>
      </c>
      <c r="AN808" t="s">
        <v>1061</v>
      </c>
      <c r="AO808" t="s">
        <v>1848</v>
      </c>
      <c r="AP808" t="s">
        <v>4496</v>
      </c>
      <c r="AQ808" t="s">
        <v>74</v>
      </c>
      <c r="AR808" t="s">
        <v>1849</v>
      </c>
      <c r="AS808" t="s">
        <v>1850</v>
      </c>
      <c r="AT808" t="s">
        <v>10131</v>
      </c>
      <c r="AU808">
        <v>1998</v>
      </c>
      <c r="AV808">
        <v>131</v>
      </c>
      <c r="AW808">
        <v>3</v>
      </c>
      <c r="AX808" t="s">
        <v>74</v>
      </c>
      <c r="AY808" t="s">
        <v>74</v>
      </c>
      <c r="AZ808" t="s">
        <v>74</v>
      </c>
      <c r="BA808" t="s">
        <v>74</v>
      </c>
      <c r="BB808">
        <v>567</v>
      </c>
      <c r="BC808">
        <v>581</v>
      </c>
      <c r="BD808" t="s">
        <v>74</v>
      </c>
      <c r="BE808" t="s">
        <v>10762</v>
      </c>
      <c r="BF808" t="str">
        <f>HYPERLINK("http://dx.doi.org/10.1007/s002270050349","http://dx.doi.org/10.1007/s002270050349")</f>
        <v>http://dx.doi.org/10.1007/s002270050349</v>
      </c>
      <c r="BG808" t="s">
        <v>74</v>
      </c>
      <c r="BH808" t="s">
        <v>74</v>
      </c>
      <c r="BI808">
        <v>15</v>
      </c>
      <c r="BJ808" t="s">
        <v>212</v>
      </c>
      <c r="BK808" t="s">
        <v>95</v>
      </c>
      <c r="BL808" t="s">
        <v>212</v>
      </c>
      <c r="BM808" t="s">
        <v>10751</v>
      </c>
      <c r="BN808" t="s">
        <v>74</v>
      </c>
      <c r="BO808" t="s">
        <v>74</v>
      </c>
      <c r="BP808" t="s">
        <v>74</v>
      </c>
      <c r="BQ808" t="s">
        <v>74</v>
      </c>
      <c r="BR808" t="s">
        <v>98</v>
      </c>
      <c r="BS808" t="s">
        <v>10763</v>
      </c>
      <c r="BT808" t="str">
        <f>HYPERLINK("https%3A%2F%2Fwww.webofscience.com%2Fwos%2Fwoscc%2Ffull-record%2FWOS:000075378700018","View Full Record in Web of Science")</f>
        <v>View Full Record in Web of Science</v>
      </c>
    </row>
    <row r="809" spans="1:72" x14ac:dyDescent="0.15">
      <c r="A809" t="s">
        <v>72</v>
      </c>
      <c r="B809" t="s">
        <v>10764</v>
      </c>
      <c r="C809" t="s">
        <v>74</v>
      </c>
      <c r="D809" t="s">
        <v>74</v>
      </c>
      <c r="E809" t="s">
        <v>74</v>
      </c>
      <c r="F809" t="s">
        <v>10764</v>
      </c>
      <c r="G809" t="s">
        <v>74</v>
      </c>
      <c r="H809" t="s">
        <v>74</v>
      </c>
      <c r="I809" t="s">
        <v>10765</v>
      </c>
      <c r="J809" t="s">
        <v>5697</v>
      </c>
      <c r="K809" t="s">
        <v>74</v>
      </c>
      <c r="L809" t="s">
        <v>74</v>
      </c>
      <c r="M809" t="s">
        <v>77</v>
      </c>
      <c r="N809" t="s">
        <v>103</v>
      </c>
      <c r="O809" t="s">
        <v>74</v>
      </c>
      <c r="P809" t="s">
        <v>74</v>
      </c>
      <c r="Q809" t="s">
        <v>74</v>
      </c>
      <c r="R809" t="s">
        <v>74</v>
      </c>
      <c r="S809" t="s">
        <v>74</v>
      </c>
      <c r="T809" t="s">
        <v>10766</v>
      </c>
      <c r="U809" t="s">
        <v>10767</v>
      </c>
      <c r="V809" t="s">
        <v>10768</v>
      </c>
      <c r="W809" t="s">
        <v>10769</v>
      </c>
      <c r="X809" t="s">
        <v>10770</v>
      </c>
      <c r="Y809" t="s">
        <v>10771</v>
      </c>
      <c r="Z809" t="s">
        <v>74</v>
      </c>
      <c r="AA809" t="s">
        <v>74</v>
      </c>
      <c r="AB809" t="s">
        <v>74</v>
      </c>
      <c r="AC809" t="s">
        <v>74</v>
      </c>
      <c r="AD809" t="s">
        <v>74</v>
      </c>
      <c r="AE809" t="s">
        <v>74</v>
      </c>
      <c r="AF809" t="s">
        <v>74</v>
      </c>
      <c r="AG809">
        <v>34</v>
      </c>
      <c r="AH809">
        <v>15</v>
      </c>
      <c r="AI809">
        <v>17</v>
      </c>
      <c r="AJ809">
        <v>1</v>
      </c>
      <c r="AK809">
        <v>17</v>
      </c>
      <c r="AL809" t="s">
        <v>1037</v>
      </c>
      <c r="AM809" t="s">
        <v>1038</v>
      </c>
      <c r="AN809" t="s">
        <v>1039</v>
      </c>
      <c r="AO809" t="s">
        <v>5706</v>
      </c>
      <c r="AP809" t="s">
        <v>74</v>
      </c>
      <c r="AQ809" t="s">
        <v>74</v>
      </c>
      <c r="AR809" t="s">
        <v>5708</v>
      </c>
      <c r="AS809" t="s">
        <v>5709</v>
      </c>
      <c r="AT809" t="s">
        <v>10131</v>
      </c>
      <c r="AU809">
        <v>1998</v>
      </c>
      <c r="AV809">
        <v>61</v>
      </c>
      <c r="AW809" t="s">
        <v>412</v>
      </c>
      <c r="AX809" t="s">
        <v>74</v>
      </c>
      <c r="AY809" t="s">
        <v>74</v>
      </c>
      <c r="AZ809" t="s">
        <v>74</v>
      </c>
      <c r="BA809" t="s">
        <v>74</v>
      </c>
      <c r="BB809">
        <v>15</v>
      </c>
      <c r="BC809">
        <v>23</v>
      </c>
      <c r="BD809" t="s">
        <v>74</v>
      </c>
      <c r="BE809" t="s">
        <v>10772</v>
      </c>
      <c r="BF809" t="str">
        <f>HYPERLINK("http://dx.doi.org/10.1016/S0304-4203(98)00004-8","http://dx.doi.org/10.1016/S0304-4203(98)00004-8")</f>
        <v>http://dx.doi.org/10.1016/S0304-4203(98)00004-8</v>
      </c>
      <c r="BG809" t="s">
        <v>74</v>
      </c>
      <c r="BH809" t="s">
        <v>74</v>
      </c>
      <c r="BI809">
        <v>9</v>
      </c>
      <c r="BJ809" t="s">
        <v>5711</v>
      </c>
      <c r="BK809" t="s">
        <v>95</v>
      </c>
      <c r="BL809" t="s">
        <v>5712</v>
      </c>
      <c r="BM809" t="s">
        <v>10773</v>
      </c>
      <c r="BN809" t="s">
        <v>74</v>
      </c>
      <c r="BO809" t="s">
        <v>74</v>
      </c>
      <c r="BP809" t="s">
        <v>74</v>
      </c>
      <c r="BQ809" t="s">
        <v>74</v>
      </c>
      <c r="BR809" t="s">
        <v>98</v>
      </c>
      <c r="BS809" t="s">
        <v>10774</v>
      </c>
      <c r="BT809" t="str">
        <f>HYPERLINK("https%3A%2F%2Fwww.webofscience.com%2Fwos%2Fwoscc%2Ffull-record%2FWOS:000074045100003","View Full Record in Web of Science")</f>
        <v>View Full Record in Web of Science</v>
      </c>
    </row>
    <row r="810" spans="1:72" x14ac:dyDescent="0.15">
      <c r="A810" t="s">
        <v>72</v>
      </c>
      <c r="B810" t="s">
        <v>10775</v>
      </c>
      <c r="C810" t="s">
        <v>74</v>
      </c>
      <c r="D810" t="s">
        <v>74</v>
      </c>
      <c r="E810" t="s">
        <v>74</v>
      </c>
      <c r="F810" t="s">
        <v>10775</v>
      </c>
      <c r="G810" t="s">
        <v>74</v>
      </c>
      <c r="H810" t="s">
        <v>74</v>
      </c>
      <c r="I810" t="s">
        <v>10776</v>
      </c>
      <c r="J810" t="s">
        <v>4502</v>
      </c>
      <c r="K810" t="s">
        <v>74</v>
      </c>
      <c r="L810" t="s">
        <v>74</v>
      </c>
      <c r="M810" t="s">
        <v>77</v>
      </c>
      <c r="N810" t="s">
        <v>103</v>
      </c>
      <c r="O810" t="s">
        <v>74</v>
      </c>
      <c r="P810" t="s">
        <v>74</v>
      </c>
      <c r="Q810" t="s">
        <v>74</v>
      </c>
      <c r="R810" t="s">
        <v>74</v>
      </c>
      <c r="S810" t="s">
        <v>74</v>
      </c>
      <c r="T810" t="s">
        <v>10777</v>
      </c>
      <c r="U810" t="s">
        <v>10778</v>
      </c>
      <c r="V810" t="s">
        <v>10779</v>
      </c>
      <c r="W810" t="s">
        <v>10780</v>
      </c>
      <c r="X810" t="s">
        <v>74</v>
      </c>
      <c r="Y810" t="s">
        <v>74</v>
      </c>
      <c r="Z810" t="s">
        <v>74</v>
      </c>
      <c r="AA810" t="s">
        <v>74</v>
      </c>
      <c r="AB810" t="s">
        <v>74</v>
      </c>
      <c r="AC810" t="s">
        <v>74</v>
      </c>
      <c r="AD810" t="s">
        <v>74</v>
      </c>
      <c r="AE810" t="s">
        <v>74</v>
      </c>
      <c r="AF810" t="s">
        <v>74</v>
      </c>
      <c r="AG810">
        <v>45</v>
      </c>
      <c r="AH810">
        <v>15</v>
      </c>
      <c r="AI810">
        <v>19</v>
      </c>
      <c r="AJ810">
        <v>0</v>
      </c>
      <c r="AK810">
        <v>17</v>
      </c>
      <c r="AL810" t="s">
        <v>1037</v>
      </c>
      <c r="AM810" t="s">
        <v>1038</v>
      </c>
      <c r="AN810" t="s">
        <v>1039</v>
      </c>
      <c r="AO810" t="s">
        <v>4509</v>
      </c>
      <c r="AP810" t="s">
        <v>74</v>
      </c>
      <c r="AQ810" t="s">
        <v>74</v>
      </c>
      <c r="AR810" t="s">
        <v>4510</v>
      </c>
      <c r="AS810" t="s">
        <v>4511</v>
      </c>
      <c r="AT810" t="s">
        <v>10131</v>
      </c>
      <c r="AU810">
        <v>1998</v>
      </c>
      <c r="AV810">
        <v>148</v>
      </c>
      <c r="AW810" t="s">
        <v>412</v>
      </c>
      <c r="AX810" t="s">
        <v>74</v>
      </c>
      <c r="AY810" t="s">
        <v>74</v>
      </c>
      <c r="AZ810" t="s">
        <v>74</v>
      </c>
      <c r="BA810" t="s">
        <v>74</v>
      </c>
      <c r="BB810">
        <v>21</v>
      </c>
      <c r="BC810">
        <v>37</v>
      </c>
      <c r="BD810" t="s">
        <v>74</v>
      </c>
      <c r="BE810" t="s">
        <v>10781</v>
      </c>
      <c r="BF810" t="str">
        <f>HYPERLINK("http://dx.doi.org/10.1016/S0025-3227(98)00017-6","http://dx.doi.org/10.1016/S0025-3227(98)00017-6")</f>
        <v>http://dx.doi.org/10.1016/S0025-3227(98)00017-6</v>
      </c>
      <c r="BG810" t="s">
        <v>74</v>
      </c>
      <c r="BH810" t="s">
        <v>74</v>
      </c>
      <c r="BI810">
        <v>17</v>
      </c>
      <c r="BJ810" t="s">
        <v>893</v>
      </c>
      <c r="BK810" t="s">
        <v>95</v>
      </c>
      <c r="BL810" t="s">
        <v>894</v>
      </c>
      <c r="BM810" t="s">
        <v>10782</v>
      </c>
      <c r="BN810" t="s">
        <v>74</v>
      </c>
      <c r="BO810" t="s">
        <v>74</v>
      </c>
      <c r="BP810" t="s">
        <v>74</v>
      </c>
      <c r="BQ810" t="s">
        <v>74</v>
      </c>
      <c r="BR810" t="s">
        <v>98</v>
      </c>
      <c r="BS810" t="s">
        <v>10783</v>
      </c>
      <c r="BT810" t="str">
        <f>HYPERLINK("https%3A%2F%2Fwww.webofscience.com%2Fwos%2Fwoscc%2Ffull-record%2FWOS:000074292900003","View Full Record in Web of Science")</f>
        <v>View Full Record in Web of Science</v>
      </c>
    </row>
    <row r="811" spans="1:72" x14ac:dyDescent="0.15">
      <c r="A811" t="s">
        <v>72</v>
      </c>
      <c r="B811" t="s">
        <v>10784</v>
      </c>
      <c r="C811" t="s">
        <v>74</v>
      </c>
      <c r="D811" t="s">
        <v>74</v>
      </c>
      <c r="E811" t="s">
        <v>74</v>
      </c>
      <c r="F811" t="s">
        <v>10784</v>
      </c>
      <c r="G811" t="s">
        <v>74</v>
      </c>
      <c r="H811" t="s">
        <v>74</v>
      </c>
      <c r="I811" t="s">
        <v>10785</v>
      </c>
      <c r="J811" t="s">
        <v>4502</v>
      </c>
      <c r="K811" t="s">
        <v>74</v>
      </c>
      <c r="L811" t="s">
        <v>74</v>
      </c>
      <c r="M811" t="s">
        <v>77</v>
      </c>
      <c r="N811" t="s">
        <v>103</v>
      </c>
      <c r="O811" t="s">
        <v>74</v>
      </c>
      <c r="P811" t="s">
        <v>74</v>
      </c>
      <c r="Q811" t="s">
        <v>74</v>
      </c>
      <c r="R811" t="s">
        <v>74</v>
      </c>
      <c r="S811" t="s">
        <v>74</v>
      </c>
      <c r="T811" t="s">
        <v>10786</v>
      </c>
      <c r="U811" t="s">
        <v>10787</v>
      </c>
      <c r="V811" t="s">
        <v>10788</v>
      </c>
      <c r="W811" t="s">
        <v>1437</v>
      </c>
      <c r="X811" t="s">
        <v>628</v>
      </c>
      <c r="Y811" t="s">
        <v>10789</v>
      </c>
      <c r="Z811" t="s">
        <v>10790</v>
      </c>
      <c r="AA811" t="s">
        <v>74</v>
      </c>
      <c r="AB811" t="s">
        <v>74</v>
      </c>
      <c r="AC811" t="s">
        <v>74</v>
      </c>
      <c r="AD811" t="s">
        <v>74</v>
      </c>
      <c r="AE811" t="s">
        <v>74</v>
      </c>
      <c r="AF811" t="s">
        <v>74</v>
      </c>
      <c r="AG811">
        <v>76</v>
      </c>
      <c r="AH811">
        <v>98</v>
      </c>
      <c r="AI811">
        <v>110</v>
      </c>
      <c r="AJ811">
        <v>1</v>
      </c>
      <c r="AK811">
        <v>16</v>
      </c>
      <c r="AL811" t="s">
        <v>1037</v>
      </c>
      <c r="AM811" t="s">
        <v>1038</v>
      </c>
      <c r="AN811" t="s">
        <v>1039</v>
      </c>
      <c r="AO811" t="s">
        <v>4509</v>
      </c>
      <c r="AP811" t="s">
        <v>74</v>
      </c>
      <c r="AQ811" t="s">
        <v>74</v>
      </c>
      <c r="AR811" t="s">
        <v>4510</v>
      </c>
      <c r="AS811" t="s">
        <v>4511</v>
      </c>
      <c r="AT811" t="s">
        <v>10131</v>
      </c>
      <c r="AU811">
        <v>1998</v>
      </c>
      <c r="AV811">
        <v>148</v>
      </c>
      <c r="AW811" t="s">
        <v>412</v>
      </c>
      <c r="AX811" t="s">
        <v>74</v>
      </c>
      <c r="AY811" t="s">
        <v>74</v>
      </c>
      <c r="AZ811" t="s">
        <v>74</v>
      </c>
      <c r="BA811" t="s">
        <v>74</v>
      </c>
      <c r="BB811">
        <v>83</v>
      </c>
      <c r="BC811">
        <v>112</v>
      </c>
      <c r="BD811" t="s">
        <v>74</v>
      </c>
      <c r="BE811" t="s">
        <v>10791</v>
      </c>
      <c r="BF811" t="str">
        <f>HYPERLINK("http://dx.doi.org/10.1016/S0025-3227(98)00014-0","http://dx.doi.org/10.1016/S0025-3227(98)00014-0")</f>
        <v>http://dx.doi.org/10.1016/S0025-3227(98)00014-0</v>
      </c>
      <c r="BG811" t="s">
        <v>74</v>
      </c>
      <c r="BH811" t="s">
        <v>74</v>
      </c>
      <c r="BI811">
        <v>30</v>
      </c>
      <c r="BJ811" t="s">
        <v>893</v>
      </c>
      <c r="BK811" t="s">
        <v>95</v>
      </c>
      <c r="BL811" t="s">
        <v>894</v>
      </c>
      <c r="BM811" t="s">
        <v>10782</v>
      </c>
      <c r="BN811" t="s">
        <v>74</v>
      </c>
      <c r="BO811" t="s">
        <v>74</v>
      </c>
      <c r="BP811" t="s">
        <v>74</v>
      </c>
      <c r="BQ811" t="s">
        <v>74</v>
      </c>
      <c r="BR811" t="s">
        <v>98</v>
      </c>
      <c r="BS811" t="s">
        <v>10792</v>
      </c>
      <c r="BT811" t="str">
        <f>HYPERLINK("https%3A%2F%2Fwww.webofscience.com%2Fwos%2Fwoscc%2Ffull-record%2FWOS:000074292900007","View Full Record in Web of Science")</f>
        <v>View Full Record in Web of Science</v>
      </c>
    </row>
    <row r="812" spans="1:72" x14ac:dyDescent="0.15">
      <c r="A812" t="s">
        <v>72</v>
      </c>
      <c r="B812" t="s">
        <v>10793</v>
      </c>
      <c r="C812" t="s">
        <v>74</v>
      </c>
      <c r="D812" t="s">
        <v>74</v>
      </c>
      <c r="E812" t="s">
        <v>74</v>
      </c>
      <c r="F812" t="s">
        <v>10793</v>
      </c>
      <c r="G812" t="s">
        <v>74</v>
      </c>
      <c r="H812" t="s">
        <v>74</v>
      </c>
      <c r="I812" t="s">
        <v>10794</v>
      </c>
      <c r="J812" t="s">
        <v>10795</v>
      </c>
      <c r="K812" t="s">
        <v>74</v>
      </c>
      <c r="L812" t="s">
        <v>74</v>
      </c>
      <c r="M812" t="s">
        <v>77</v>
      </c>
      <c r="N812" t="s">
        <v>78</v>
      </c>
      <c r="O812" t="s">
        <v>74</v>
      </c>
      <c r="P812" t="s">
        <v>74</v>
      </c>
      <c r="Q812" t="s">
        <v>74</v>
      </c>
      <c r="R812" t="s">
        <v>74</v>
      </c>
      <c r="S812" t="s">
        <v>74</v>
      </c>
      <c r="T812" t="s">
        <v>74</v>
      </c>
      <c r="U812" t="s">
        <v>10796</v>
      </c>
      <c r="V812" t="s">
        <v>10797</v>
      </c>
      <c r="W812" t="s">
        <v>10798</v>
      </c>
      <c r="X812" t="s">
        <v>10799</v>
      </c>
      <c r="Y812" t="s">
        <v>10800</v>
      </c>
      <c r="Z812" t="s">
        <v>10801</v>
      </c>
      <c r="AA812" t="s">
        <v>10802</v>
      </c>
      <c r="AB812" t="s">
        <v>10803</v>
      </c>
      <c r="AC812" t="s">
        <v>74</v>
      </c>
      <c r="AD812" t="s">
        <v>74</v>
      </c>
      <c r="AE812" t="s">
        <v>74</v>
      </c>
      <c r="AF812" t="s">
        <v>74</v>
      </c>
      <c r="AG812">
        <v>375</v>
      </c>
      <c r="AH812">
        <v>1009</v>
      </c>
      <c r="AI812">
        <v>1149</v>
      </c>
      <c r="AJ812">
        <v>13</v>
      </c>
      <c r="AK812">
        <v>256</v>
      </c>
      <c r="AL812" t="s">
        <v>6197</v>
      </c>
      <c r="AM812" t="s">
        <v>967</v>
      </c>
      <c r="AN812" t="s">
        <v>6198</v>
      </c>
      <c r="AO812" t="s">
        <v>10804</v>
      </c>
      <c r="AP812" t="s">
        <v>74</v>
      </c>
      <c r="AQ812" t="s">
        <v>74</v>
      </c>
      <c r="AR812" t="s">
        <v>10805</v>
      </c>
      <c r="AS812" t="s">
        <v>10806</v>
      </c>
      <c r="AT812" t="s">
        <v>10131</v>
      </c>
      <c r="AU812">
        <v>1998</v>
      </c>
      <c r="AV812">
        <v>62</v>
      </c>
      <c r="AW812">
        <v>2</v>
      </c>
      <c r="AX812" t="s">
        <v>74</v>
      </c>
      <c r="AY812" t="s">
        <v>74</v>
      </c>
      <c r="AZ812" t="s">
        <v>74</v>
      </c>
      <c r="BA812" t="s">
        <v>74</v>
      </c>
      <c r="BB812">
        <v>504</v>
      </c>
      <c r="BC812" t="s">
        <v>3164</v>
      </c>
      <c r="BD812" t="s">
        <v>74</v>
      </c>
      <c r="BE812" t="s">
        <v>10807</v>
      </c>
      <c r="BF812" t="str">
        <f>HYPERLINK("http://dx.doi.org/10.1128/MMBR.62.2.504-544.1998","http://dx.doi.org/10.1128/MMBR.62.2.504-544.1998")</f>
        <v>http://dx.doi.org/10.1128/MMBR.62.2.504-544.1998</v>
      </c>
      <c r="BG812" t="s">
        <v>74</v>
      </c>
      <c r="BH812" t="s">
        <v>74</v>
      </c>
      <c r="BI812">
        <v>42</v>
      </c>
      <c r="BJ812" t="s">
        <v>5766</v>
      </c>
      <c r="BK812" t="s">
        <v>95</v>
      </c>
      <c r="BL812" t="s">
        <v>5766</v>
      </c>
      <c r="BM812" t="s">
        <v>10808</v>
      </c>
      <c r="BN812">
        <v>9618450</v>
      </c>
      <c r="BO812" t="s">
        <v>5238</v>
      </c>
      <c r="BP812" t="s">
        <v>74</v>
      </c>
      <c r="BQ812" t="s">
        <v>74</v>
      </c>
      <c r="BR812" t="s">
        <v>98</v>
      </c>
      <c r="BS812" t="s">
        <v>10809</v>
      </c>
      <c r="BT812" t="str">
        <f>HYPERLINK("https%3A%2F%2Fwww.webofscience.com%2Fwos%2Fwoscc%2Ffull-record%2FWOS:000074114800010","View Full Record in Web of Science")</f>
        <v>View Full Record in Web of Science</v>
      </c>
    </row>
    <row r="813" spans="1:72" x14ac:dyDescent="0.15">
      <c r="A813" t="s">
        <v>72</v>
      </c>
      <c r="B813" t="s">
        <v>10810</v>
      </c>
      <c r="C813" t="s">
        <v>74</v>
      </c>
      <c r="D813" t="s">
        <v>74</v>
      </c>
      <c r="E813" t="s">
        <v>74</v>
      </c>
      <c r="F813" t="s">
        <v>10810</v>
      </c>
      <c r="G813" t="s">
        <v>74</v>
      </c>
      <c r="H813" t="s">
        <v>74</v>
      </c>
      <c r="I813" t="s">
        <v>10811</v>
      </c>
      <c r="J813" t="s">
        <v>5751</v>
      </c>
      <c r="K813" t="s">
        <v>74</v>
      </c>
      <c r="L813" t="s">
        <v>74</v>
      </c>
      <c r="M813" t="s">
        <v>77</v>
      </c>
      <c r="N813" t="s">
        <v>103</v>
      </c>
      <c r="O813" t="s">
        <v>74</v>
      </c>
      <c r="P813" t="s">
        <v>74</v>
      </c>
      <c r="Q813" t="s">
        <v>74</v>
      </c>
      <c r="R813" t="s">
        <v>74</v>
      </c>
      <c r="S813" t="s">
        <v>74</v>
      </c>
      <c r="T813" t="s">
        <v>10812</v>
      </c>
      <c r="U813" t="s">
        <v>10813</v>
      </c>
      <c r="V813" t="s">
        <v>10814</v>
      </c>
      <c r="W813" t="s">
        <v>10815</v>
      </c>
      <c r="X813" t="s">
        <v>6427</v>
      </c>
      <c r="Y813" t="s">
        <v>6411</v>
      </c>
      <c r="Z813" t="s">
        <v>74</v>
      </c>
      <c r="AA813" t="s">
        <v>10816</v>
      </c>
      <c r="AB813" t="s">
        <v>10817</v>
      </c>
      <c r="AC813" t="s">
        <v>74</v>
      </c>
      <c r="AD813" t="s">
        <v>74</v>
      </c>
      <c r="AE813" t="s">
        <v>74</v>
      </c>
      <c r="AF813" t="s">
        <v>74</v>
      </c>
      <c r="AG813">
        <v>30</v>
      </c>
      <c r="AH813">
        <v>163</v>
      </c>
      <c r="AI813">
        <v>173</v>
      </c>
      <c r="AJ813">
        <v>0</v>
      </c>
      <c r="AK813">
        <v>12</v>
      </c>
      <c r="AL813" t="s">
        <v>5760</v>
      </c>
      <c r="AM813" t="s">
        <v>580</v>
      </c>
      <c r="AN813" t="s">
        <v>5761</v>
      </c>
      <c r="AO813" t="s">
        <v>5762</v>
      </c>
      <c r="AP813" t="s">
        <v>74</v>
      </c>
      <c r="AQ813" t="s">
        <v>74</v>
      </c>
      <c r="AR813" t="s">
        <v>5763</v>
      </c>
      <c r="AS813" t="s">
        <v>5764</v>
      </c>
      <c r="AT813" t="s">
        <v>10131</v>
      </c>
      <c r="AU813">
        <v>1998</v>
      </c>
      <c r="AV813">
        <v>144</v>
      </c>
      <c r="AW813" t="s">
        <v>74</v>
      </c>
      <c r="AX813">
        <v>6</v>
      </c>
      <c r="AY813" t="s">
        <v>74</v>
      </c>
      <c r="AZ813" t="s">
        <v>74</v>
      </c>
      <c r="BA813" t="s">
        <v>74</v>
      </c>
      <c r="BB813">
        <v>1601</v>
      </c>
      <c r="BC813">
        <v>1609</v>
      </c>
      <c r="BD813" t="s">
        <v>74</v>
      </c>
      <c r="BE813" t="s">
        <v>10818</v>
      </c>
      <c r="BF813" t="str">
        <f>HYPERLINK("http://dx.doi.org/10.1099/00221287-144-6-1601","http://dx.doi.org/10.1099/00221287-144-6-1601")</f>
        <v>http://dx.doi.org/10.1099/00221287-144-6-1601</v>
      </c>
      <c r="BG813" t="s">
        <v>74</v>
      </c>
      <c r="BH813" t="s">
        <v>74</v>
      </c>
      <c r="BI813">
        <v>9</v>
      </c>
      <c r="BJ813" t="s">
        <v>5766</v>
      </c>
      <c r="BK813" t="s">
        <v>95</v>
      </c>
      <c r="BL813" t="s">
        <v>5766</v>
      </c>
      <c r="BM813" t="s">
        <v>10819</v>
      </c>
      <c r="BN813">
        <v>9639931</v>
      </c>
      <c r="BO813" t="s">
        <v>1089</v>
      </c>
      <c r="BP813" t="s">
        <v>74</v>
      </c>
      <c r="BQ813" t="s">
        <v>74</v>
      </c>
      <c r="BR813" t="s">
        <v>98</v>
      </c>
      <c r="BS813" t="s">
        <v>10820</v>
      </c>
      <c r="BT813" t="str">
        <f>HYPERLINK("https%3A%2F%2Fwww.webofscience.com%2Fwos%2Fwoscc%2Ffull-record%2FWOS:000074174800016","View Full Record in Web of Science")</f>
        <v>View Full Record in Web of Science</v>
      </c>
    </row>
    <row r="814" spans="1:72" x14ac:dyDescent="0.15">
      <c r="A814" t="s">
        <v>72</v>
      </c>
      <c r="B814" t="s">
        <v>10821</v>
      </c>
      <c r="C814" t="s">
        <v>74</v>
      </c>
      <c r="D814" t="s">
        <v>74</v>
      </c>
      <c r="E814" t="s">
        <v>74</v>
      </c>
      <c r="F814" t="s">
        <v>10821</v>
      </c>
      <c r="G814" t="s">
        <v>74</v>
      </c>
      <c r="H814" t="s">
        <v>74</v>
      </c>
      <c r="I814" t="s">
        <v>10822</v>
      </c>
      <c r="J814" t="s">
        <v>10823</v>
      </c>
      <c r="K814" t="s">
        <v>74</v>
      </c>
      <c r="L814" t="s">
        <v>74</v>
      </c>
      <c r="M814" t="s">
        <v>77</v>
      </c>
      <c r="N814" t="s">
        <v>103</v>
      </c>
      <c r="O814" t="s">
        <v>74</v>
      </c>
      <c r="P814" t="s">
        <v>74</v>
      </c>
      <c r="Q814" t="s">
        <v>74</v>
      </c>
      <c r="R814" t="s">
        <v>74</v>
      </c>
      <c r="S814" t="s">
        <v>74</v>
      </c>
      <c r="T814" t="s">
        <v>74</v>
      </c>
      <c r="U814" t="s">
        <v>10824</v>
      </c>
      <c r="V814" t="s">
        <v>10825</v>
      </c>
      <c r="W814" t="s">
        <v>10826</v>
      </c>
      <c r="X814" t="s">
        <v>10827</v>
      </c>
      <c r="Y814" t="s">
        <v>10828</v>
      </c>
      <c r="Z814" t="s">
        <v>74</v>
      </c>
      <c r="AA814" t="s">
        <v>10829</v>
      </c>
      <c r="AB814" t="s">
        <v>10830</v>
      </c>
      <c r="AC814" t="s">
        <v>74</v>
      </c>
      <c r="AD814" t="s">
        <v>74</v>
      </c>
      <c r="AE814" t="s">
        <v>74</v>
      </c>
      <c r="AF814" t="s">
        <v>74</v>
      </c>
      <c r="AG814">
        <v>54</v>
      </c>
      <c r="AH814">
        <v>23</v>
      </c>
      <c r="AI814">
        <v>27</v>
      </c>
      <c r="AJ814">
        <v>1</v>
      </c>
      <c r="AK814">
        <v>5</v>
      </c>
      <c r="AL814" t="s">
        <v>10831</v>
      </c>
      <c r="AM814" t="s">
        <v>997</v>
      </c>
      <c r="AN814" t="s">
        <v>10832</v>
      </c>
      <c r="AO814" t="s">
        <v>10833</v>
      </c>
      <c r="AP814" t="s">
        <v>74</v>
      </c>
      <c r="AQ814" t="s">
        <v>74</v>
      </c>
      <c r="AR814" t="s">
        <v>10823</v>
      </c>
      <c r="AS814" t="s">
        <v>10834</v>
      </c>
      <c r="AT814" t="s">
        <v>10131</v>
      </c>
      <c r="AU814">
        <v>1998</v>
      </c>
      <c r="AV814">
        <v>13</v>
      </c>
      <c r="AW814">
        <v>3</v>
      </c>
      <c r="AX814" t="s">
        <v>74</v>
      </c>
      <c r="AY814" t="s">
        <v>74</v>
      </c>
      <c r="AZ814" t="s">
        <v>74</v>
      </c>
      <c r="BA814" t="s">
        <v>74</v>
      </c>
      <c r="BB814">
        <v>276</v>
      </c>
      <c r="BC814">
        <v>286</v>
      </c>
      <c r="BD814" t="s">
        <v>74</v>
      </c>
      <c r="BE814" t="s">
        <v>10835</v>
      </c>
      <c r="BF814" t="str">
        <f>HYPERLINK("http://dx.doi.org/10.2307/3515450","http://dx.doi.org/10.2307/3515450")</f>
        <v>http://dx.doi.org/10.2307/3515450</v>
      </c>
      <c r="BG814" t="s">
        <v>74</v>
      </c>
      <c r="BH814" t="s">
        <v>74</v>
      </c>
      <c r="BI814">
        <v>11</v>
      </c>
      <c r="BJ814" t="s">
        <v>10836</v>
      </c>
      <c r="BK814" t="s">
        <v>95</v>
      </c>
      <c r="BL814" t="s">
        <v>10836</v>
      </c>
      <c r="BM814" t="s">
        <v>10837</v>
      </c>
      <c r="BN814" t="s">
        <v>74</v>
      </c>
      <c r="BO814" t="s">
        <v>74</v>
      </c>
      <c r="BP814" t="s">
        <v>74</v>
      </c>
      <c r="BQ814" t="s">
        <v>74</v>
      </c>
      <c r="BR814" t="s">
        <v>98</v>
      </c>
      <c r="BS814" t="s">
        <v>10838</v>
      </c>
      <c r="BT814" t="str">
        <f>HYPERLINK("https%3A%2F%2Fwww.webofscience.com%2Fwos%2Fwoscc%2Ffull-record%2FWOS:000073836900005","View Full Record in Web of Science")</f>
        <v>View Full Record in Web of Science</v>
      </c>
    </row>
    <row r="815" spans="1:72" x14ac:dyDescent="0.15">
      <c r="A815" t="s">
        <v>72</v>
      </c>
      <c r="B815" t="s">
        <v>10839</v>
      </c>
      <c r="C815" t="s">
        <v>74</v>
      </c>
      <c r="D815" t="s">
        <v>74</v>
      </c>
      <c r="E815" t="s">
        <v>74</v>
      </c>
      <c r="F815" t="s">
        <v>10839</v>
      </c>
      <c r="G815" t="s">
        <v>74</v>
      </c>
      <c r="H815" t="s">
        <v>74</v>
      </c>
      <c r="I815" t="s">
        <v>10840</v>
      </c>
      <c r="J815" t="s">
        <v>4579</v>
      </c>
      <c r="K815" t="s">
        <v>74</v>
      </c>
      <c r="L815" t="s">
        <v>74</v>
      </c>
      <c r="M815" t="s">
        <v>77</v>
      </c>
      <c r="N815" t="s">
        <v>103</v>
      </c>
      <c r="O815" t="s">
        <v>74</v>
      </c>
      <c r="P815" t="s">
        <v>74</v>
      </c>
      <c r="Q815" t="s">
        <v>74</v>
      </c>
      <c r="R815" t="s">
        <v>74</v>
      </c>
      <c r="S815" t="s">
        <v>74</v>
      </c>
      <c r="T815" t="s">
        <v>74</v>
      </c>
      <c r="U815" t="s">
        <v>10841</v>
      </c>
      <c r="V815" t="s">
        <v>10842</v>
      </c>
      <c r="W815" t="s">
        <v>10843</v>
      </c>
      <c r="X815" t="s">
        <v>131</v>
      </c>
      <c r="Y815" t="s">
        <v>10844</v>
      </c>
      <c r="Z815" t="s">
        <v>74</v>
      </c>
      <c r="AA815" t="s">
        <v>74</v>
      </c>
      <c r="AB815" t="s">
        <v>74</v>
      </c>
      <c r="AC815" t="s">
        <v>74</v>
      </c>
      <c r="AD815" t="s">
        <v>74</v>
      </c>
      <c r="AE815" t="s">
        <v>74</v>
      </c>
      <c r="AF815" t="s">
        <v>74</v>
      </c>
      <c r="AG815">
        <v>27</v>
      </c>
      <c r="AH815">
        <v>17</v>
      </c>
      <c r="AI815">
        <v>19</v>
      </c>
      <c r="AJ815">
        <v>0</v>
      </c>
      <c r="AK815">
        <v>3</v>
      </c>
      <c r="AL815" t="s">
        <v>4587</v>
      </c>
      <c r="AM815" t="s">
        <v>4407</v>
      </c>
      <c r="AN815" t="s">
        <v>4408</v>
      </c>
      <c r="AO815" t="s">
        <v>4588</v>
      </c>
      <c r="AP815" t="s">
        <v>74</v>
      </c>
      <c r="AQ815" t="s">
        <v>74</v>
      </c>
      <c r="AR815" t="s">
        <v>4579</v>
      </c>
      <c r="AS815" t="s">
        <v>4589</v>
      </c>
      <c r="AT815" t="s">
        <v>10493</v>
      </c>
      <c r="AU815">
        <v>1998</v>
      </c>
      <c r="AV815">
        <v>24</v>
      </c>
      <c r="AW815">
        <v>3</v>
      </c>
      <c r="AX815" t="s">
        <v>74</v>
      </c>
      <c r="AY815" t="s">
        <v>74</v>
      </c>
      <c r="AZ815" t="s">
        <v>74</v>
      </c>
      <c r="BA815" t="s">
        <v>74</v>
      </c>
      <c r="BB815">
        <v>349</v>
      </c>
      <c r="BC815">
        <v>358</v>
      </c>
      <c r="BD815" t="s">
        <v>74</v>
      </c>
      <c r="BE815" t="s">
        <v>74</v>
      </c>
      <c r="BF815" t="s">
        <v>74</v>
      </c>
      <c r="BG815" t="s">
        <v>74</v>
      </c>
      <c r="BH815" t="s">
        <v>74</v>
      </c>
      <c r="BI815">
        <v>10</v>
      </c>
      <c r="BJ815" t="s">
        <v>4591</v>
      </c>
      <c r="BK815" t="s">
        <v>95</v>
      </c>
      <c r="BL815" t="s">
        <v>4592</v>
      </c>
      <c r="BM815" t="s">
        <v>10845</v>
      </c>
      <c r="BN815" t="s">
        <v>74</v>
      </c>
      <c r="BO815" t="s">
        <v>74</v>
      </c>
      <c r="BP815" t="s">
        <v>74</v>
      </c>
      <c r="BQ815" t="s">
        <v>74</v>
      </c>
      <c r="BR815" t="s">
        <v>98</v>
      </c>
      <c r="BS815" t="s">
        <v>10846</v>
      </c>
      <c r="BT815" t="str">
        <f>HYPERLINK("https%3A%2F%2Fwww.webofscience.com%2Fwos%2Fwoscc%2Ffull-record%2FWOS:000075507000004","View Full Record in Web of Science")</f>
        <v>View Full Record in Web of Science</v>
      </c>
    </row>
    <row r="816" spans="1:72" x14ac:dyDescent="0.15">
      <c r="A816" t="s">
        <v>72</v>
      </c>
      <c r="B816" t="s">
        <v>10847</v>
      </c>
      <c r="C816" t="s">
        <v>74</v>
      </c>
      <c r="D816" t="s">
        <v>74</v>
      </c>
      <c r="E816" t="s">
        <v>74</v>
      </c>
      <c r="F816" t="s">
        <v>10847</v>
      </c>
      <c r="G816" t="s">
        <v>74</v>
      </c>
      <c r="H816" t="s">
        <v>74</v>
      </c>
      <c r="I816" t="s">
        <v>10848</v>
      </c>
      <c r="J816" t="s">
        <v>4597</v>
      </c>
      <c r="K816" t="s">
        <v>74</v>
      </c>
      <c r="L816" t="s">
        <v>74</v>
      </c>
      <c r="M816" t="s">
        <v>77</v>
      </c>
      <c r="N816" t="s">
        <v>103</v>
      </c>
      <c r="O816" t="s">
        <v>74</v>
      </c>
      <c r="P816" t="s">
        <v>74</v>
      </c>
      <c r="Q816" t="s">
        <v>74</v>
      </c>
      <c r="R816" t="s">
        <v>74</v>
      </c>
      <c r="S816" t="s">
        <v>74</v>
      </c>
      <c r="T816" t="s">
        <v>74</v>
      </c>
      <c r="U816" t="s">
        <v>10849</v>
      </c>
      <c r="V816" t="s">
        <v>10850</v>
      </c>
      <c r="W816" t="s">
        <v>3300</v>
      </c>
      <c r="X816" t="s">
        <v>3301</v>
      </c>
      <c r="Y816" t="s">
        <v>10851</v>
      </c>
      <c r="Z816" t="s">
        <v>10852</v>
      </c>
      <c r="AA816" t="s">
        <v>10853</v>
      </c>
      <c r="AB816" t="s">
        <v>10854</v>
      </c>
      <c r="AC816" t="s">
        <v>74</v>
      </c>
      <c r="AD816" t="s">
        <v>74</v>
      </c>
      <c r="AE816" t="s">
        <v>74</v>
      </c>
      <c r="AF816" t="s">
        <v>74</v>
      </c>
      <c r="AG816">
        <v>82</v>
      </c>
      <c r="AH816">
        <v>61</v>
      </c>
      <c r="AI816">
        <v>65</v>
      </c>
      <c r="AJ816">
        <v>0</v>
      </c>
      <c r="AK816">
        <v>24</v>
      </c>
      <c r="AL816" t="s">
        <v>966</v>
      </c>
      <c r="AM816" t="s">
        <v>967</v>
      </c>
      <c r="AN816" t="s">
        <v>968</v>
      </c>
      <c r="AO816" t="s">
        <v>4606</v>
      </c>
      <c r="AP816" t="s">
        <v>74</v>
      </c>
      <c r="AQ816" t="s">
        <v>74</v>
      </c>
      <c r="AR816" t="s">
        <v>4597</v>
      </c>
      <c r="AS816" t="s">
        <v>4608</v>
      </c>
      <c r="AT816" t="s">
        <v>10131</v>
      </c>
      <c r="AU816">
        <v>1998</v>
      </c>
      <c r="AV816">
        <v>13</v>
      </c>
      <c r="AW816">
        <v>3</v>
      </c>
      <c r="AX816" t="s">
        <v>74</v>
      </c>
      <c r="AY816" t="s">
        <v>74</v>
      </c>
      <c r="AZ816" t="s">
        <v>74</v>
      </c>
      <c r="BA816" t="s">
        <v>74</v>
      </c>
      <c r="BB816">
        <v>225</v>
      </c>
      <c r="BC816">
        <v>244</v>
      </c>
      <c r="BD816" t="s">
        <v>74</v>
      </c>
      <c r="BE816" t="s">
        <v>10855</v>
      </c>
      <c r="BF816" t="str">
        <f>HYPERLINK("http://dx.doi.org/10.1029/98PA00726","http://dx.doi.org/10.1029/98PA00726")</f>
        <v>http://dx.doi.org/10.1029/98PA00726</v>
      </c>
      <c r="BG816" t="s">
        <v>74</v>
      </c>
      <c r="BH816" t="s">
        <v>74</v>
      </c>
      <c r="BI816">
        <v>20</v>
      </c>
      <c r="BJ816" t="s">
        <v>4610</v>
      </c>
      <c r="BK816" t="s">
        <v>95</v>
      </c>
      <c r="BL816" t="s">
        <v>3306</v>
      </c>
      <c r="BM816" t="s">
        <v>10856</v>
      </c>
      <c r="BN816" t="s">
        <v>74</v>
      </c>
      <c r="BO816" t="s">
        <v>1005</v>
      </c>
      <c r="BP816" t="s">
        <v>74</v>
      </c>
      <c r="BQ816" t="s">
        <v>74</v>
      </c>
      <c r="BR816" t="s">
        <v>98</v>
      </c>
      <c r="BS816" t="s">
        <v>10857</v>
      </c>
      <c r="BT816" t="str">
        <f>HYPERLINK("https%3A%2F%2Fwww.webofscience.com%2Fwos%2Fwoscc%2Ffull-record%2FWOS:000074012800002","View Full Record in Web of Science")</f>
        <v>View Full Record in Web of Science</v>
      </c>
    </row>
    <row r="817" spans="1:72" x14ac:dyDescent="0.15">
      <c r="A817" t="s">
        <v>72</v>
      </c>
      <c r="B817" t="s">
        <v>9025</v>
      </c>
      <c r="C817" t="s">
        <v>74</v>
      </c>
      <c r="D817" t="s">
        <v>74</v>
      </c>
      <c r="E817" t="s">
        <v>74</v>
      </c>
      <c r="F817" t="s">
        <v>9025</v>
      </c>
      <c r="G817" t="s">
        <v>74</v>
      </c>
      <c r="H817" t="s">
        <v>74</v>
      </c>
      <c r="I817" t="s">
        <v>10858</v>
      </c>
      <c r="J817" t="s">
        <v>4597</v>
      </c>
      <c r="K817" t="s">
        <v>74</v>
      </c>
      <c r="L817" t="s">
        <v>74</v>
      </c>
      <c r="M817" t="s">
        <v>77</v>
      </c>
      <c r="N817" t="s">
        <v>103</v>
      </c>
      <c r="O817" t="s">
        <v>74</v>
      </c>
      <c r="P817" t="s">
        <v>74</v>
      </c>
      <c r="Q817" t="s">
        <v>74</v>
      </c>
      <c r="R817" t="s">
        <v>74</v>
      </c>
      <c r="S817" t="s">
        <v>74</v>
      </c>
      <c r="T817" t="s">
        <v>74</v>
      </c>
      <c r="U817" t="s">
        <v>10859</v>
      </c>
      <c r="V817" t="s">
        <v>10860</v>
      </c>
      <c r="W817" t="s">
        <v>10861</v>
      </c>
      <c r="X817" t="s">
        <v>9030</v>
      </c>
      <c r="Y817" t="s">
        <v>10862</v>
      </c>
      <c r="Z817" t="s">
        <v>9032</v>
      </c>
      <c r="AA817" t="s">
        <v>74</v>
      </c>
      <c r="AB817" t="s">
        <v>74</v>
      </c>
      <c r="AC817" t="s">
        <v>74</v>
      </c>
      <c r="AD817" t="s">
        <v>74</v>
      </c>
      <c r="AE817" t="s">
        <v>74</v>
      </c>
      <c r="AF817" t="s">
        <v>74</v>
      </c>
      <c r="AG817">
        <v>53</v>
      </c>
      <c r="AH817">
        <v>167</v>
      </c>
      <c r="AI817">
        <v>179</v>
      </c>
      <c r="AJ817">
        <v>0</v>
      </c>
      <c r="AK817">
        <v>22</v>
      </c>
      <c r="AL817" t="s">
        <v>966</v>
      </c>
      <c r="AM817" t="s">
        <v>967</v>
      </c>
      <c r="AN817" t="s">
        <v>968</v>
      </c>
      <c r="AO817" t="s">
        <v>4606</v>
      </c>
      <c r="AP817" t="s">
        <v>4607</v>
      </c>
      <c r="AQ817" t="s">
        <v>74</v>
      </c>
      <c r="AR817" t="s">
        <v>4597</v>
      </c>
      <c r="AS817" t="s">
        <v>4608</v>
      </c>
      <c r="AT817" t="s">
        <v>10131</v>
      </c>
      <c r="AU817">
        <v>1998</v>
      </c>
      <c r="AV817">
        <v>13</v>
      </c>
      <c r="AW817">
        <v>3</v>
      </c>
      <c r="AX817" t="s">
        <v>74</v>
      </c>
      <c r="AY817" t="s">
        <v>74</v>
      </c>
      <c r="AZ817" t="s">
        <v>74</v>
      </c>
      <c r="BA817" t="s">
        <v>74</v>
      </c>
      <c r="BB817">
        <v>284</v>
      </c>
      <c r="BC817">
        <v>297</v>
      </c>
      <c r="BD817" t="s">
        <v>74</v>
      </c>
      <c r="BE817" t="s">
        <v>10863</v>
      </c>
      <c r="BF817" t="str">
        <f>HYPERLINK("http://dx.doi.org/10.1029/98PA00339","http://dx.doi.org/10.1029/98PA00339")</f>
        <v>http://dx.doi.org/10.1029/98PA00339</v>
      </c>
      <c r="BG817" t="s">
        <v>74</v>
      </c>
      <c r="BH817" t="s">
        <v>74</v>
      </c>
      <c r="BI817">
        <v>14</v>
      </c>
      <c r="BJ817" t="s">
        <v>4610</v>
      </c>
      <c r="BK817" t="s">
        <v>95</v>
      </c>
      <c r="BL817" t="s">
        <v>3306</v>
      </c>
      <c r="BM817" t="s">
        <v>10856</v>
      </c>
      <c r="BN817" t="s">
        <v>74</v>
      </c>
      <c r="BO817" t="s">
        <v>1524</v>
      </c>
      <c r="BP817" t="s">
        <v>74</v>
      </c>
      <c r="BQ817" t="s">
        <v>74</v>
      </c>
      <c r="BR817" t="s">
        <v>98</v>
      </c>
      <c r="BS817" t="s">
        <v>10864</v>
      </c>
      <c r="BT817" t="str">
        <f>HYPERLINK("https%3A%2F%2Fwww.webofscience.com%2Fwos%2Fwoscc%2Ffull-record%2FWOS:000074012800007","View Full Record in Web of Science")</f>
        <v>View Full Record in Web of Science</v>
      </c>
    </row>
    <row r="818" spans="1:72" x14ac:dyDescent="0.15">
      <c r="A818" t="s">
        <v>72</v>
      </c>
      <c r="B818" t="s">
        <v>10865</v>
      </c>
      <c r="C818" t="s">
        <v>74</v>
      </c>
      <c r="D818" t="s">
        <v>74</v>
      </c>
      <c r="E818" t="s">
        <v>74</v>
      </c>
      <c r="F818" t="s">
        <v>10865</v>
      </c>
      <c r="G818" t="s">
        <v>74</v>
      </c>
      <c r="H818" t="s">
        <v>74</v>
      </c>
      <c r="I818" t="s">
        <v>10866</v>
      </c>
      <c r="J818" t="s">
        <v>10867</v>
      </c>
      <c r="K818" t="s">
        <v>74</v>
      </c>
      <c r="L818" t="s">
        <v>74</v>
      </c>
      <c r="M818" t="s">
        <v>77</v>
      </c>
      <c r="N818" t="s">
        <v>103</v>
      </c>
      <c r="O818" t="s">
        <v>74</v>
      </c>
      <c r="P818" t="s">
        <v>74</v>
      </c>
      <c r="Q818" t="s">
        <v>74</v>
      </c>
      <c r="R818" t="s">
        <v>74</v>
      </c>
      <c r="S818" t="s">
        <v>74</v>
      </c>
      <c r="T818" t="s">
        <v>10868</v>
      </c>
      <c r="U818" t="s">
        <v>10869</v>
      </c>
      <c r="V818" t="s">
        <v>10870</v>
      </c>
      <c r="W818" t="s">
        <v>10871</v>
      </c>
      <c r="X818" t="s">
        <v>10872</v>
      </c>
      <c r="Y818" t="s">
        <v>10873</v>
      </c>
      <c r="Z818" t="s">
        <v>74</v>
      </c>
      <c r="AA818" t="s">
        <v>74</v>
      </c>
      <c r="AB818" t="s">
        <v>10874</v>
      </c>
      <c r="AC818" t="s">
        <v>74</v>
      </c>
      <c r="AD818" t="s">
        <v>74</v>
      </c>
      <c r="AE818" t="s">
        <v>74</v>
      </c>
      <c r="AF818" t="s">
        <v>74</v>
      </c>
      <c r="AG818">
        <v>36</v>
      </c>
      <c r="AH818">
        <v>53</v>
      </c>
      <c r="AI818">
        <v>61</v>
      </c>
      <c r="AJ818">
        <v>2</v>
      </c>
      <c r="AK818">
        <v>18</v>
      </c>
      <c r="AL818" t="s">
        <v>805</v>
      </c>
      <c r="AM818" t="s">
        <v>866</v>
      </c>
      <c r="AN818" t="s">
        <v>867</v>
      </c>
      <c r="AO818" t="s">
        <v>10875</v>
      </c>
      <c r="AP818" t="s">
        <v>10876</v>
      </c>
      <c r="AQ818" t="s">
        <v>74</v>
      </c>
      <c r="AR818" t="s">
        <v>10877</v>
      </c>
      <c r="AS818" t="s">
        <v>10878</v>
      </c>
      <c r="AT818" t="s">
        <v>10131</v>
      </c>
      <c r="AU818">
        <v>1998</v>
      </c>
      <c r="AV818">
        <v>56</v>
      </c>
      <c r="AW818">
        <v>3</v>
      </c>
      <c r="AX818" t="s">
        <v>74</v>
      </c>
      <c r="AY818" t="s">
        <v>74</v>
      </c>
      <c r="AZ818" t="s">
        <v>74</v>
      </c>
      <c r="BA818" t="s">
        <v>74</v>
      </c>
      <c r="BB818">
        <v>303</v>
      </c>
      <c r="BC818">
        <v>314</v>
      </c>
      <c r="BD818" t="s">
        <v>74</v>
      </c>
      <c r="BE818" t="s">
        <v>10879</v>
      </c>
      <c r="BF818" t="str">
        <f>HYPERLINK("http://dx.doi.org/10.1023/A:1006048519302","http://dx.doi.org/10.1023/A:1006048519302")</f>
        <v>http://dx.doi.org/10.1023/A:1006048519302</v>
      </c>
      <c r="BG818" t="s">
        <v>74</v>
      </c>
      <c r="BH818" t="s">
        <v>74</v>
      </c>
      <c r="BI818">
        <v>12</v>
      </c>
      <c r="BJ818" t="s">
        <v>382</v>
      </c>
      <c r="BK818" t="s">
        <v>95</v>
      </c>
      <c r="BL818" t="s">
        <v>382</v>
      </c>
      <c r="BM818" t="s">
        <v>10880</v>
      </c>
      <c r="BN818" t="s">
        <v>74</v>
      </c>
      <c r="BO818" t="s">
        <v>74</v>
      </c>
      <c r="BP818" t="s">
        <v>74</v>
      </c>
      <c r="BQ818" t="s">
        <v>74</v>
      </c>
      <c r="BR818" t="s">
        <v>98</v>
      </c>
      <c r="BS818" t="s">
        <v>10881</v>
      </c>
      <c r="BT818" t="str">
        <f>HYPERLINK("https%3A%2F%2Fwww.webofscience.com%2Fwos%2Fwoscc%2Ffull-record%2FWOS:000075545400006","View Full Record in Web of Science")</f>
        <v>View Full Record in Web of Science</v>
      </c>
    </row>
    <row r="819" spans="1:72" x14ac:dyDescent="0.15">
      <c r="A819" t="s">
        <v>72</v>
      </c>
      <c r="B819" t="s">
        <v>10882</v>
      </c>
      <c r="C819" t="s">
        <v>74</v>
      </c>
      <c r="D819" t="s">
        <v>74</v>
      </c>
      <c r="E819" t="s">
        <v>74</v>
      </c>
      <c r="F819" t="s">
        <v>10882</v>
      </c>
      <c r="G819" t="s">
        <v>74</v>
      </c>
      <c r="H819" t="s">
        <v>74</v>
      </c>
      <c r="I819" t="s">
        <v>10883</v>
      </c>
      <c r="J819" t="s">
        <v>10884</v>
      </c>
      <c r="K819" t="s">
        <v>74</v>
      </c>
      <c r="L819" t="s">
        <v>74</v>
      </c>
      <c r="M819" t="s">
        <v>77</v>
      </c>
      <c r="N819" t="s">
        <v>103</v>
      </c>
      <c r="O819" t="s">
        <v>74</v>
      </c>
      <c r="P819" t="s">
        <v>74</v>
      </c>
      <c r="Q819" t="s">
        <v>74</v>
      </c>
      <c r="R819" t="s">
        <v>74</v>
      </c>
      <c r="S819" t="s">
        <v>74</v>
      </c>
      <c r="T819" t="s">
        <v>10885</v>
      </c>
      <c r="U819" t="s">
        <v>10886</v>
      </c>
      <c r="V819" t="s">
        <v>10887</v>
      </c>
      <c r="W819" t="s">
        <v>10888</v>
      </c>
      <c r="X819" t="s">
        <v>10889</v>
      </c>
      <c r="Y819" t="s">
        <v>10890</v>
      </c>
      <c r="Z819" t="s">
        <v>10891</v>
      </c>
      <c r="AA819" t="s">
        <v>10892</v>
      </c>
      <c r="AB819" t="s">
        <v>10893</v>
      </c>
      <c r="AC819" t="s">
        <v>74</v>
      </c>
      <c r="AD819" t="s">
        <v>74</v>
      </c>
      <c r="AE819" t="s">
        <v>74</v>
      </c>
      <c r="AF819" t="s">
        <v>74</v>
      </c>
      <c r="AG819">
        <v>69</v>
      </c>
      <c r="AH819">
        <v>164</v>
      </c>
      <c r="AI819">
        <v>185</v>
      </c>
      <c r="AJ819">
        <v>2</v>
      </c>
      <c r="AK819">
        <v>47</v>
      </c>
      <c r="AL819" t="s">
        <v>655</v>
      </c>
      <c r="AM819" t="s">
        <v>656</v>
      </c>
      <c r="AN819" t="s">
        <v>657</v>
      </c>
      <c r="AO819" t="s">
        <v>10894</v>
      </c>
      <c r="AP819" t="s">
        <v>10895</v>
      </c>
      <c r="AQ819" t="s">
        <v>74</v>
      </c>
      <c r="AR819" t="s">
        <v>10896</v>
      </c>
      <c r="AS819" t="s">
        <v>10897</v>
      </c>
      <c r="AT819" t="s">
        <v>10131</v>
      </c>
      <c r="AU819">
        <v>1998</v>
      </c>
      <c r="AV819">
        <v>21</v>
      </c>
      <c r="AW819">
        <v>6</v>
      </c>
      <c r="AX819" t="s">
        <v>74</v>
      </c>
      <c r="AY819" t="s">
        <v>74</v>
      </c>
      <c r="AZ819" t="s">
        <v>74</v>
      </c>
      <c r="BA819" t="s">
        <v>74</v>
      </c>
      <c r="BB819">
        <v>565</v>
      </c>
      <c r="BC819">
        <v>572</v>
      </c>
      <c r="BD819" t="s">
        <v>74</v>
      </c>
      <c r="BE819" t="s">
        <v>10898</v>
      </c>
      <c r="BF819" t="str">
        <f>HYPERLINK("http://dx.doi.org/10.1046/j.1365-3040.1998.00304.x","http://dx.doi.org/10.1046/j.1365-3040.1998.00304.x")</f>
        <v>http://dx.doi.org/10.1046/j.1365-3040.1998.00304.x</v>
      </c>
      <c r="BG819" t="s">
        <v>74</v>
      </c>
      <c r="BH819" t="s">
        <v>74</v>
      </c>
      <c r="BI819">
        <v>8</v>
      </c>
      <c r="BJ819" t="s">
        <v>382</v>
      </c>
      <c r="BK819" t="s">
        <v>95</v>
      </c>
      <c r="BL819" t="s">
        <v>382</v>
      </c>
      <c r="BM819" t="s">
        <v>10899</v>
      </c>
      <c r="BN819" t="s">
        <v>74</v>
      </c>
      <c r="BO819" t="s">
        <v>1089</v>
      </c>
      <c r="BP819" t="s">
        <v>74</v>
      </c>
      <c r="BQ819" t="s">
        <v>74</v>
      </c>
      <c r="BR819" t="s">
        <v>98</v>
      </c>
      <c r="BS819" t="s">
        <v>10900</v>
      </c>
      <c r="BT819" t="str">
        <f>HYPERLINK("https%3A%2F%2Fwww.webofscience.com%2Fwos%2Fwoscc%2Ffull-record%2FWOS:000075305600003","View Full Record in Web of Science")</f>
        <v>View Full Record in Web of Science</v>
      </c>
    </row>
    <row r="820" spans="1:72" x14ac:dyDescent="0.15">
      <c r="A820" t="s">
        <v>72</v>
      </c>
      <c r="B820" t="s">
        <v>10901</v>
      </c>
      <c r="C820" t="s">
        <v>74</v>
      </c>
      <c r="D820" t="s">
        <v>74</v>
      </c>
      <c r="E820" t="s">
        <v>74</v>
      </c>
      <c r="F820" t="s">
        <v>10901</v>
      </c>
      <c r="G820" t="s">
        <v>74</v>
      </c>
      <c r="H820" t="s">
        <v>74</v>
      </c>
      <c r="I820" t="s">
        <v>10902</v>
      </c>
      <c r="J820" t="s">
        <v>2603</v>
      </c>
      <c r="K820" t="s">
        <v>74</v>
      </c>
      <c r="L820" t="s">
        <v>74</v>
      </c>
      <c r="M820" t="s">
        <v>77</v>
      </c>
      <c r="N820" t="s">
        <v>103</v>
      </c>
      <c r="O820" t="s">
        <v>74</v>
      </c>
      <c r="P820" t="s">
        <v>74</v>
      </c>
      <c r="Q820" t="s">
        <v>74</v>
      </c>
      <c r="R820" t="s">
        <v>74</v>
      </c>
      <c r="S820" t="s">
        <v>74</v>
      </c>
      <c r="T820" t="s">
        <v>74</v>
      </c>
      <c r="U820" t="s">
        <v>10903</v>
      </c>
      <c r="V820" t="s">
        <v>10904</v>
      </c>
      <c r="W820" t="s">
        <v>10905</v>
      </c>
      <c r="X820" t="s">
        <v>8316</v>
      </c>
      <c r="Y820" t="s">
        <v>10906</v>
      </c>
      <c r="Z820" t="s">
        <v>74</v>
      </c>
      <c r="AA820" t="s">
        <v>74</v>
      </c>
      <c r="AB820" t="s">
        <v>74</v>
      </c>
      <c r="AC820" t="s">
        <v>74</v>
      </c>
      <c r="AD820" t="s">
        <v>74</v>
      </c>
      <c r="AE820" t="s">
        <v>74</v>
      </c>
      <c r="AF820" t="s">
        <v>74</v>
      </c>
      <c r="AG820">
        <v>54</v>
      </c>
      <c r="AH820">
        <v>73</v>
      </c>
      <c r="AI820">
        <v>85</v>
      </c>
      <c r="AJ820">
        <v>3</v>
      </c>
      <c r="AK820">
        <v>36</v>
      </c>
      <c r="AL820" t="s">
        <v>887</v>
      </c>
      <c r="AM820" t="s">
        <v>278</v>
      </c>
      <c r="AN820" t="s">
        <v>888</v>
      </c>
      <c r="AO820" t="s">
        <v>2610</v>
      </c>
      <c r="AP820" t="s">
        <v>74</v>
      </c>
      <c r="AQ820" t="s">
        <v>74</v>
      </c>
      <c r="AR820" t="s">
        <v>2612</v>
      </c>
      <c r="AS820" t="s">
        <v>2613</v>
      </c>
      <c r="AT820" t="s">
        <v>10131</v>
      </c>
      <c r="AU820">
        <v>1998</v>
      </c>
      <c r="AV820">
        <v>19</v>
      </c>
      <c r="AW820">
        <v>6</v>
      </c>
      <c r="AX820" t="s">
        <v>74</v>
      </c>
      <c r="AY820" t="s">
        <v>74</v>
      </c>
      <c r="AZ820" t="s">
        <v>74</v>
      </c>
      <c r="BA820" t="s">
        <v>74</v>
      </c>
      <c r="BB820">
        <v>365</v>
      </c>
      <c r="BC820">
        <v>374</v>
      </c>
      <c r="BD820" t="s">
        <v>74</v>
      </c>
      <c r="BE820" t="s">
        <v>10907</v>
      </c>
      <c r="BF820" t="str">
        <f>HYPERLINK("http://dx.doi.org/10.1007/s003000050261","http://dx.doi.org/10.1007/s003000050261")</f>
        <v>http://dx.doi.org/10.1007/s003000050261</v>
      </c>
      <c r="BG820" t="s">
        <v>74</v>
      </c>
      <c r="BH820" t="s">
        <v>74</v>
      </c>
      <c r="BI820">
        <v>10</v>
      </c>
      <c r="BJ820" t="s">
        <v>2615</v>
      </c>
      <c r="BK820" t="s">
        <v>95</v>
      </c>
      <c r="BL820" t="s">
        <v>2616</v>
      </c>
      <c r="BM820" t="s">
        <v>10908</v>
      </c>
      <c r="BN820" t="s">
        <v>74</v>
      </c>
      <c r="BO820" t="s">
        <v>74</v>
      </c>
      <c r="BP820" t="s">
        <v>74</v>
      </c>
      <c r="BQ820" t="s">
        <v>74</v>
      </c>
      <c r="BR820" t="s">
        <v>98</v>
      </c>
      <c r="BS820" t="s">
        <v>10909</v>
      </c>
      <c r="BT820" t="str">
        <f>HYPERLINK("https%3A%2F%2Fwww.webofscience.com%2Fwos%2Fwoscc%2Ffull-record%2FWOS:000073931800001","View Full Record in Web of Science")</f>
        <v>View Full Record in Web of Science</v>
      </c>
    </row>
    <row r="821" spans="1:72" x14ac:dyDescent="0.15">
      <c r="A821" t="s">
        <v>72</v>
      </c>
      <c r="B821" t="s">
        <v>10910</v>
      </c>
      <c r="C821" t="s">
        <v>74</v>
      </c>
      <c r="D821" t="s">
        <v>74</v>
      </c>
      <c r="E821" t="s">
        <v>74</v>
      </c>
      <c r="F821" t="s">
        <v>10910</v>
      </c>
      <c r="G821" t="s">
        <v>74</v>
      </c>
      <c r="H821" t="s">
        <v>74</v>
      </c>
      <c r="I821" t="s">
        <v>10911</v>
      </c>
      <c r="J821" t="s">
        <v>2603</v>
      </c>
      <c r="K821" t="s">
        <v>74</v>
      </c>
      <c r="L821" t="s">
        <v>74</v>
      </c>
      <c r="M821" t="s">
        <v>77</v>
      </c>
      <c r="N821" t="s">
        <v>103</v>
      </c>
      <c r="O821" t="s">
        <v>74</v>
      </c>
      <c r="P821" t="s">
        <v>74</v>
      </c>
      <c r="Q821" t="s">
        <v>74</v>
      </c>
      <c r="R821" t="s">
        <v>74</v>
      </c>
      <c r="S821" t="s">
        <v>74</v>
      </c>
      <c r="T821" t="s">
        <v>74</v>
      </c>
      <c r="U821" t="s">
        <v>10912</v>
      </c>
      <c r="V821" t="s">
        <v>10913</v>
      </c>
      <c r="W821" t="s">
        <v>508</v>
      </c>
      <c r="X821" t="s">
        <v>509</v>
      </c>
      <c r="Y821" t="s">
        <v>10914</v>
      </c>
      <c r="Z821" t="s">
        <v>74</v>
      </c>
      <c r="AA821" t="s">
        <v>74</v>
      </c>
      <c r="AB821" t="s">
        <v>74</v>
      </c>
      <c r="AC821" t="s">
        <v>74</v>
      </c>
      <c r="AD821" t="s">
        <v>74</v>
      </c>
      <c r="AE821" t="s">
        <v>74</v>
      </c>
      <c r="AF821" t="s">
        <v>74</v>
      </c>
      <c r="AG821">
        <v>32</v>
      </c>
      <c r="AH821">
        <v>46</v>
      </c>
      <c r="AI821">
        <v>51</v>
      </c>
      <c r="AJ821">
        <v>0</v>
      </c>
      <c r="AK821">
        <v>6</v>
      </c>
      <c r="AL821" t="s">
        <v>805</v>
      </c>
      <c r="AM821" t="s">
        <v>278</v>
      </c>
      <c r="AN821" t="s">
        <v>806</v>
      </c>
      <c r="AO821" t="s">
        <v>2610</v>
      </c>
      <c r="AP821" t="s">
        <v>74</v>
      </c>
      <c r="AQ821" t="s">
        <v>74</v>
      </c>
      <c r="AR821" t="s">
        <v>2612</v>
      </c>
      <c r="AS821" t="s">
        <v>2613</v>
      </c>
      <c r="AT821" t="s">
        <v>10131</v>
      </c>
      <c r="AU821">
        <v>1998</v>
      </c>
      <c r="AV821">
        <v>19</v>
      </c>
      <c r="AW821">
        <v>6</v>
      </c>
      <c r="AX821" t="s">
        <v>74</v>
      </c>
      <c r="AY821" t="s">
        <v>74</v>
      </c>
      <c r="AZ821" t="s">
        <v>74</v>
      </c>
      <c r="BA821" t="s">
        <v>74</v>
      </c>
      <c r="BB821">
        <v>383</v>
      </c>
      <c r="BC821">
        <v>392</v>
      </c>
      <c r="BD821" t="s">
        <v>74</v>
      </c>
      <c r="BE821" t="s">
        <v>10915</v>
      </c>
      <c r="BF821" t="str">
        <f>HYPERLINK("http://dx.doi.org/10.1007/s003000050263","http://dx.doi.org/10.1007/s003000050263")</f>
        <v>http://dx.doi.org/10.1007/s003000050263</v>
      </c>
      <c r="BG821" t="s">
        <v>74</v>
      </c>
      <c r="BH821" t="s">
        <v>74</v>
      </c>
      <c r="BI821">
        <v>10</v>
      </c>
      <c r="BJ821" t="s">
        <v>2615</v>
      </c>
      <c r="BK821" t="s">
        <v>95</v>
      </c>
      <c r="BL821" t="s">
        <v>2616</v>
      </c>
      <c r="BM821" t="s">
        <v>10908</v>
      </c>
      <c r="BN821" t="s">
        <v>74</v>
      </c>
      <c r="BO821" t="s">
        <v>74</v>
      </c>
      <c r="BP821" t="s">
        <v>74</v>
      </c>
      <c r="BQ821" t="s">
        <v>74</v>
      </c>
      <c r="BR821" t="s">
        <v>98</v>
      </c>
      <c r="BS821" t="s">
        <v>10916</v>
      </c>
      <c r="BT821" t="str">
        <f>HYPERLINK("https%3A%2F%2Fwww.webofscience.com%2Fwos%2Fwoscc%2Ffull-record%2FWOS:000073931800003","View Full Record in Web of Science")</f>
        <v>View Full Record in Web of Science</v>
      </c>
    </row>
    <row r="822" spans="1:72" x14ac:dyDescent="0.15">
      <c r="A822" t="s">
        <v>72</v>
      </c>
      <c r="B822" t="s">
        <v>10917</v>
      </c>
      <c r="C822" t="s">
        <v>74</v>
      </c>
      <c r="D822" t="s">
        <v>74</v>
      </c>
      <c r="E822" t="s">
        <v>74</v>
      </c>
      <c r="F822" t="s">
        <v>10917</v>
      </c>
      <c r="G822" t="s">
        <v>74</v>
      </c>
      <c r="H822" t="s">
        <v>74</v>
      </c>
      <c r="I822" t="s">
        <v>10918</v>
      </c>
      <c r="J822" t="s">
        <v>2603</v>
      </c>
      <c r="K822" t="s">
        <v>74</v>
      </c>
      <c r="L822" t="s">
        <v>74</v>
      </c>
      <c r="M822" t="s">
        <v>77</v>
      </c>
      <c r="N822" t="s">
        <v>103</v>
      </c>
      <c r="O822" t="s">
        <v>74</v>
      </c>
      <c r="P822" t="s">
        <v>74</v>
      </c>
      <c r="Q822" t="s">
        <v>74</v>
      </c>
      <c r="R822" t="s">
        <v>74</v>
      </c>
      <c r="S822" t="s">
        <v>74</v>
      </c>
      <c r="T822" t="s">
        <v>74</v>
      </c>
      <c r="U822" t="s">
        <v>74</v>
      </c>
      <c r="V822" t="s">
        <v>10919</v>
      </c>
      <c r="W822" t="s">
        <v>10920</v>
      </c>
      <c r="X822" t="s">
        <v>10921</v>
      </c>
      <c r="Y822" t="s">
        <v>10922</v>
      </c>
      <c r="Z822" t="s">
        <v>74</v>
      </c>
      <c r="AA822" t="s">
        <v>74</v>
      </c>
      <c r="AB822" t="s">
        <v>74</v>
      </c>
      <c r="AC822" t="s">
        <v>74</v>
      </c>
      <c r="AD822" t="s">
        <v>74</v>
      </c>
      <c r="AE822" t="s">
        <v>74</v>
      </c>
      <c r="AF822" t="s">
        <v>74</v>
      </c>
      <c r="AG822">
        <v>27</v>
      </c>
      <c r="AH822">
        <v>72</v>
      </c>
      <c r="AI822">
        <v>83</v>
      </c>
      <c r="AJ822">
        <v>0</v>
      </c>
      <c r="AK822">
        <v>7</v>
      </c>
      <c r="AL822" t="s">
        <v>887</v>
      </c>
      <c r="AM822" t="s">
        <v>278</v>
      </c>
      <c r="AN822" t="s">
        <v>888</v>
      </c>
      <c r="AO822" t="s">
        <v>2610</v>
      </c>
      <c r="AP822" t="s">
        <v>74</v>
      </c>
      <c r="AQ822" t="s">
        <v>74</v>
      </c>
      <c r="AR822" t="s">
        <v>2612</v>
      </c>
      <c r="AS822" t="s">
        <v>2613</v>
      </c>
      <c r="AT822" t="s">
        <v>10131</v>
      </c>
      <c r="AU822">
        <v>1998</v>
      </c>
      <c r="AV822">
        <v>19</v>
      </c>
      <c r="AW822">
        <v>6</v>
      </c>
      <c r="AX822" t="s">
        <v>74</v>
      </c>
      <c r="AY822" t="s">
        <v>74</v>
      </c>
      <c r="AZ822" t="s">
        <v>74</v>
      </c>
      <c r="BA822" t="s">
        <v>74</v>
      </c>
      <c r="BB822">
        <v>393</v>
      </c>
      <c r="BC822">
        <v>398</v>
      </c>
      <c r="BD822" t="s">
        <v>74</v>
      </c>
      <c r="BE822" t="s">
        <v>10923</v>
      </c>
      <c r="BF822" t="str">
        <f>HYPERLINK("http://dx.doi.org/10.1007/s003000050264","http://dx.doi.org/10.1007/s003000050264")</f>
        <v>http://dx.doi.org/10.1007/s003000050264</v>
      </c>
      <c r="BG822" t="s">
        <v>74</v>
      </c>
      <c r="BH822" t="s">
        <v>74</v>
      </c>
      <c r="BI822">
        <v>6</v>
      </c>
      <c r="BJ822" t="s">
        <v>2615</v>
      </c>
      <c r="BK822" t="s">
        <v>95</v>
      </c>
      <c r="BL822" t="s">
        <v>2616</v>
      </c>
      <c r="BM822" t="s">
        <v>10908</v>
      </c>
      <c r="BN822" t="s">
        <v>74</v>
      </c>
      <c r="BO822" t="s">
        <v>74</v>
      </c>
      <c r="BP822" t="s">
        <v>74</v>
      </c>
      <c r="BQ822" t="s">
        <v>74</v>
      </c>
      <c r="BR822" t="s">
        <v>98</v>
      </c>
      <c r="BS822" t="s">
        <v>10924</v>
      </c>
      <c r="BT822" t="str">
        <f>HYPERLINK("https%3A%2F%2Fwww.webofscience.com%2Fwos%2Fwoscc%2Ffull-record%2FWOS:000073931800004","View Full Record in Web of Science")</f>
        <v>View Full Record in Web of Science</v>
      </c>
    </row>
    <row r="823" spans="1:72" x14ac:dyDescent="0.15">
      <c r="A823" t="s">
        <v>72</v>
      </c>
      <c r="B823" t="s">
        <v>10925</v>
      </c>
      <c r="C823" t="s">
        <v>74</v>
      </c>
      <c r="D823" t="s">
        <v>74</v>
      </c>
      <c r="E823" t="s">
        <v>74</v>
      </c>
      <c r="F823" t="s">
        <v>10925</v>
      </c>
      <c r="G823" t="s">
        <v>74</v>
      </c>
      <c r="H823" t="s">
        <v>74</v>
      </c>
      <c r="I823" t="s">
        <v>10926</v>
      </c>
      <c r="J823" t="s">
        <v>2603</v>
      </c>
      <c r="K823" t="s">
        <v>74</v>
      </c>
      <c r="L823" t="s">
        <v>74</v>
      </c>
      <c r="M823" t="s">
        <v>77</v>
      </c>
      <c r="N823" t="s">
        <v>103</v>
      </c>
      <c r="O823" t="s">
        <v>74</v>
      </c>
      <c r="P823" t="s">
        <v>74</v>
      </c>
      <c r="Q823" t="s">
        <v>74</v>
      </c>
      <c r="R823" t="s">
        <v>74</v>
      </c>
      <c r="S823" t="s">
        <v>74</v>
      </c>
      <c r="T823" t="s">
        <v>74</v>
      </c>
      <c r="U823" t="s">
        <v>10927</v>
      </c>
      <c r="V823" t="s">
        <v>10928</v>
      </c>
      <c r="W823" t="s">
        <v>10929</v>
      </c>
      <c r="X823" t="s">
        <v>10930</v>
      </c>
      <c r="Y823" t="s">
        <v>10931</v>
      </c>
      <c r="Z823" t="s">
        <v>74</v>
      </c>
      <c r="AA823" t="s">
        <v>74</v>
      </c>
      <c r="AB823" t="s">
        <v>74</v>
      </c>
      <c r="AC823" t="s">
        <v>74</v>
      </c>
      <c r="AD823" t="s">
        <v>74</v>
      </c>
      <c r="AE823" t="s">
        <v>74</v>
      </c>
      <c r="AF823" t="s">
        <v>74</v>
      </c>
      <c r="AG823">
        <v>66</v>
      </c>
      <c r="AH823">
        <v>43</v>
      </c>
      <c r="AI823">
        <v>49</v>
      </c>
      <c r="AJ823">
        <v>0</v>
      </c>
      <c r="AK823">
        <v>13</v>
      </c>
      <c r="AL823" t="s">
        <v>887</v>
      </c>
      <c r="AM823" t="s">
        <v>278</v>
      </c>
      <c r="AN823" t="s">
        <v>888</v>
      </c>
      <c r="AO823" t="s">
        <v>2610</v>
      </c>
      <c r="AP823" t="s">
        <v>74</v>
      </c>
      <c r="AQ823" t="s">
        <v>74</v>
      </c>
      <c r="AR823" t="s">
        <v>2612</v>
      </c>
      <c r="AS823" t="s">
        <v>2613</v>
      </c>
      <c r="AT823" t="s">
        <v>10131</v>
      </c>
      <c r="AU823">
        <v>1998</v>
      </c>
      <c r="AV823">
        <v>19</v>
      </c>
      <c r="AW823">
        <v>6</v>
      </c>
      <c r="AX823" t="s">
        <v>74</v>
      </c>
      <c r="AY823" t="s">
        <v>74</v>
      </c>
      <c r="AZ823" t="s">
        <v>74</v>
      </c>
      <c r="BA823" t="s">
        <v>74</v>
      </c>
      <c r="BB823">
        <v>399</v>
      </c>
      <c r="BC823">
        <v>406</v>
      </c>
      <c r="BD823" t="s">
        <v>74</v>
      </c>
      <c r="BE823" t="s">
        <v>10932</v>
      </c>
      <c r="BF823" t="str">
        <f>HYPERLINK("http://dx.doi.org/10.1007/s003000050265","http://dx.doi.org/10.1007/s003000050265")</f>
        <v>http://dx.doi.org/10.1007/s003000050265</v>
      </c>
      <c r="BG823" t="s">
        <v>74</v>
      </c>
      <c r="BH823" t="s">
        <v>74</v>
      </c>
      <c r="BI823">
        <v>8</v>
      </c>
      <c r="BJ823" t="s">
        <v>2615</v>
      </c>
      <c r="BK823" t="s">
        <v>95</v>
      </c>
      <c r="BL823" t="s">
        <v>2616</v>
      </c>
      <c r="BM823" t="s">
        <v>10908</v>
      </c>
      <c r="BN823" t="s">
        <v>74</v>
      </c>
      <c r="BO823" t="s">
        <v>74</v>
      </c>
      <c r="BP823" t="s">
        <v>74</v>
      </c>
      <c r="BQ823" t="s">
        <v>74</v>
      </c>
      <c r="BR823" t="s">
        <v>98</v>
      </c>
      <c r="BS823" t="s">
        <v>10933</v>
      </c>
      <c r="BT823" t="str">
        <f>HYPERLINK("https%3A%2F%2Fwww.webofscience.com%2Fwos%2Fwoscc%2Ffull-record%2FWOS:000073931800005","View Full Record in Web of Science")</f>
        <v>View Full Record in Web of Science</v>
      </c>
    </row>
    <row r="824" spans="1:72" x14ac:dyDescent="0.15">
      <c r="A824" t="s">
        <v>72</v>
      </c>
      <c r="B824" t="s">
        <v>10934</v>
      </c>
      <c r="C824" t="s">
        <v>74</v>
      </c>
      <c r="D824" t="s">
        <v>74</v>
      </c>
      <c r="E824" t="s">
        <v>74</v>
      </c>
      <c r="F824" t="s">
        <v>10934</v>
      </c>
      <c r="G824" t="s">
        <v>74</v>
      </c>
      <c r="H824" t="s">
        <v>74</v>
      </c>
      <c r="I824" t="s">
        <v>10935</v>
      </c>
      <c r="J824" t="s">
        <v>2603</v>
      </c>
      <c r="K824" t="s">
        <v>74</v>
      </c>
      <c r="L824" t="s">
        <v>74</v>
      </c>
      <c r="M824" t="s">
        <v>77</v>
      </c>
      <c r="N824" t="s">
        <v>103</v>
      </c>
      <c r="O824" t="s">
        <v>74</v>
      </c>
      <c r="P824" t="s">
        <v>74</v>
      </c>
      <c r="Q824" t="s">
        <v>74</v>
      </c>
      <c r="R824" t="s">
        <v>74</v>
      </c>
      <c r="S824" t="s">
        <v>74</v>
      </c>
      <c r="T824" t="s">
        <v>74</v>
      </c>
      <c r="U824" t="s">
        <v>10936</v>
      </c>
      <c r="V824" t="s">
        <v>10937</v>
      </c>
      <c r="W824" t="s">
        <v>3534</v>
      </c>
      <c r="X824" t="s">
        <v>3535</v>
      </c>
      <c r="Y824" t="s">
        <v>10938</v>
      </c>
      <c r="Z824" t="s">
        <v>74</v>
      </c>
      <c r="AA824" t="s">
        <v>74</v>
      </c>
      <c r="AB824" t="s">
        <v>74</v>
      </c>
      <c r="AC824" t="s">
        <v>74</v>
      </c>
      <c r="AD824" t="s">
        <v>74</v>
      </c>
      <c r="AE824" t="s">
        <v>74</v>
      </c>
      <c r="AF824" t="s">
        <v>74</v>
      </c>
      <c r="AG824">
        <v>44</v>
      </c>
      <c r="AH824">
        <v>25</v>
      </c>
      <c r="AI824">
        <v>27</v>
      </c>
      <c r="AJ824">
        <v>0</v>
      </c>
      <c r="AK824">
        <v>20</v>
      </c>
      <c r="AL824" t="s">
        <v>887</v>
      </c>
      <c r="AM824" t="s">
        <v>278</v>
      </c>
      <c r="AN824" t="s">
        <v>888</v>
      </c>
      <c r="AO824" t="s">
        <v>2610</v>
      </c>
      <c r="AP824" t="s">
        <v>74</v>
      </c>
      <c r="AQ824" t="s">
        <v>74</v>
      </c>
      <c r="AR824" t="s">
        <v>2612</v>
      </c>
      <c r="AS824" t="s">
        <v>2613</v>
      </c>
      <c r="AT824" t="s">
        <v>10131</v>
      </c>
      <c r="AU824">
        <v>1998</v>
      </c>
      <c r="AV824">
        <v>19</v>
      </c>
      <c r="AW824">
        <v>6</v>
      </c>
      <c r="AX824" t="s">
        <v>74</v>
      </c>
      <c r="AY824" t="s">
        <v>74</v>
      </c>
      <c r="AZ824" t="s">
        <v>74</v>
      </c>
      <c r="BA824" t="s">
        <v>74</v>
      </c>
      <c r="BB824">
        <v>414</v>
      </c>
      <c r="BC824">
        <v>420</v>
      </c>
      <c r="BD824" t="s">
        <v>74</v>
      </c>
      <c r="BE824" t="s">
        <v>10939</v>
      </c>
      <c r="BF824" t="str">
        <f>HYPERLINK("http://dx.doi.org/10.1007/s003000050267","http://dx.doi.org/10.1007/s003000050267")</f>
        <v>http://dx.doi.org/10.1007/s003000050267</v>
      </c>
      <c r="BG824" t="s">
        <v>74</v>
      </c>
      <c r="BH824" t="s">
        <v>74</v>
      </c>
      <c r="BI824">
        <v>7</v>
      </c>
      <c r="BJ824" t="s">
        <v>2615</v>
      </c>
      <c r="BK824" t="s">
        <v>95</v>
      </c>
      <c r="BL824" t="s">
        <v>2616</v>
      </c>
      <c r="BM824" t="s">
        <v>10908</v>
      </c>
      <c r="BN824" t="s">
        <v>74</v>
      </c>
      <c r="BO824" t="s">
        <v>74</v>
      </c>
      <c r="BP824" t="s">
        <v>74</v>
      </c>
      <c r="BQ824" t="s">
        <v>74</v>
      </c>
      <c r="BR824" t="s">
        <v>98</v>
      </c>
      <c r="BS824" t="s">
        <v>10940</v>
      </c>
      <c r="BT824" t="str">
        <f>HYPERLINK("https%3A%2F%2Fwww.webofscience.com%2Fwos%2Fwoscc%2Ffull-record%2FWOS:000073931800007","View Full Record in Web of Science")</f>
        <v>View Full Record in Web of Science</v>
      </c>
    </row>
    <row r="825" spans="1:72" x14ac:dyDescent="0.15">
      <c r="A825" t="s">
        <v>72</v>
      </c>
      <c r="B825" t="s">
        <v>10941</v>
      </c>
      <c r="C825" t="s">
        <v>74</v>
      </c>
      <c r="D825" t="s">
        <v>74</v>
      </c>
      <c r="E825" t="s">
        <v>74</v>
      </c>
      <c r="F825" t="s">
        <v>10941</v>
      </c>
      <c r="G825" t="s">
        <v>74</v>
      </c>
      <c r="H825" t="s">
        <v>74</v>
      </c>
      <c r="I825" t="s">
        <v>10942</v>
      </c>
      <c r="J825" t="s">
        <v>2603</v>
      </c>
      <c r="K825" t="s">
        <v>74</v>
      </c>
      <c r="L825" t="s">
        <v>74</v>
      </c>
      <c r="M825" t="s">
        <v>77</v>
      </c>
      <c r="N825" t="s">
        <v>103</v>
      </c>
      <c r="O825" t="s">
        <v>74</v>
      </c>
      <c r="P825" t="s">
        <v>74</v>
      </c>
      <c r="Q825" t="s">
        <v>74</v>
      </c>
      <c r="R825" t="s">
        <v>74</v>
      </c>
      <c r="S825" t="s">
        <v>74</v>
      </c>
      <c r="T825" t="s">
        <v>74</v>
      </c>
      <c r="U825" t="s">
        <v>74</v>
      </c>
      <c r="V825" t="s">
        <v>10943</v>
      </c>
      <c r="W825" t="s">
        <v>10944</v>
      </c>
      <c r="X825" t="s">
        <v>10945</v>
      </c>
      <c r="Y825" t="s">
        <v>10946</v>
      </c>
      <c r="Z825" t="s">
        <v>74</v>
      </c>
      <c r="AA825" t="s">
        <v>74</v>
      </c>
      <c r="AB825" t="s">
        <v>74</v>
      </c>
      <c r="AC825" t="s">
        <v>74</v>
      </c>
      <c r="AD825" t="s">
        <v>74</v>
      </c>
      <c r="AE825" t="s">
        <v>74</v>
      </c>
      <c r="AF825" t="s">
        <v>74</v>
      </c>
      <c r="AG825">
        <v>9</v>
      </c>
      <c r="AH825">
        <v>12</v>
      </c>
      <c r="AI825">
        <v>12</v>
      </c>
      <c r="AJ825">
        <v>0</v>
      </c>
      <c r="AK825">
        <v>5</v>
      </c>
      <c r="AL825" t="s">
        <v>887</v>
      </c>
      <c r="AM825" t="s">
        <v>278</v>
      </c>
      <c r="AN825" t="s">
        <v>888</v>
      </c>
      <c r="AO825" t="s">
        <v>2610</v>
      </c>
      <c r="AP825" t="s">
        <v>74</v>
      </c>
      <c r="AQ825" t="s">
        <v>74</v>
      </c>
      <c r="AR825" t="s">
        <v>2612</v>
      </c>
      <c r="AS825" t="s">
        <v>2613</v>
      </c>
      <c r="AT825" t="s">
        <v>10131</v>
      </c>
      <c r="AU825">
        <v>1998</v>
      </c>
      <c r="AV825">
        <v>19</v>
      </c>
      <c r="AW825">
        <v>6</v>
      </c>
      <c r="AX825" t="s">
        <v>74</v>
      </c>
      <c r="AY825" t="s">
        <v>74</v>
      </c>
      <c r="AZ825" t="s">
        <v>74</v>
      </c>
      <c r="BA825" t="s">
        <v>74</v>
      </c>
      <c r="BB825">
        <v>421</v>
      </c>
      <c r="BC825">
        <v>423</v>
      </c>
      <c r="BD825" t="s">
        <v>74</v>
      </c>
      <c r="BE825" t="s">
        <v>10947</v>
      </c>
      <c r="BF825" t="str">
        <f>HYPERLINK("http://dx.doi.org/10.1007/s003000050268","http://dx.doi.org/10.1007/s003000050268")</f>
        <v>http://dx.doi.org/10.1007/s003000050268</v>
      </c>
      <c r="BG825" t="s">
        <v>74</v>
      </c>
      <c r="BH825" t="s">
        <v>74</v>
      </c>
      <c r="BI825">
        <v>3</v>
      </c>
      <c r="BJ825" t="s">
        <v>2615</v>
      </c>
      <c r="BK825" t="s">
        <v>95</v>
      </c>
      <c r="BL825" t="s">
        <v>2616</v>
      </c>
      <c r="BM825" t="s">
        <v>10908</v>
      </c>
      <c r="BN825" t="s">
        <v>74</v>
      </c>
      <c r="BO825" t="s">
        <v>74</v>
      </c>
      <c r="BP825" t="s">
        <v>74</v>
      </c>
      <c r="BQ825" t="s">
        <v>74</v>
      </c>
      <c r="BR825" t="s">
        <v>98</v>
      </c>
      <c r="BS825" t="s">
        <v>10948</v>
      </c>
      <c r="BT825" t="str">
        <f>HYPERLINK("https%3A%2F%2Fwww.webofscience.com%2Fwos%2Fwoscc%2Ffull-record%2FWOS:000073931800008","View Full Record in Web of Science")</f>
        <v>View Full Record in Web of Science</v>
      </c>
    </row>
    <row r="826" spans="1:72" x14ac:dyDescent="0.15">
      <c r="A826" t="s">
        <v>72</v>
      </c>
      <c r="B826" t="s">
        <v>10949</v>
      </c>
      <c r="C826" t="s">
        <v>74</v>
      </c>
      <c r="D826" t="s">
        <v>74</v>
      </c>
      <c r="E826" t="s">
        <v>74</v>
      </c>
      <c r="F826" t="s">
        <v>10949</v>
      </c>
      <c r="G826" t="s">
        <v>74</v>
      </c>
      <c r="H826" t="s">
        <v>74</v>
      </c>
      <c r="I826" t="s">
        <v>10950</v>
      </c>
      <c r="J826" t="s">
        <v>10951</v>
      </c>
      <c r="K826" t="s">
        <v>74</v>
      </c>
      <c r="L826" t="s">
        <v>74</v>
      </c>
      <c r="M826" t="s">
        <v>77</v>
      </c>
      <c r="N826" t="s">
        <v>103</v>
      </c>
      <c r="O826" t="s">
        <v>74</v>
      </c>
      <c r="P826" t="s">
        <v>74</v>
      </c>
      <c r="Q826" t="s">
        <v>74</v>
      </c>
      <c r="R826" t="s">
        <v>74</v>
      </c>
      <c r="S826" t="s">
        <v>74</v>
      </c>
      <c r="T826" t="s">
        <v>10952</v>
      </c>
      <c r="U826" t="s">
        <v>10953</v>
      </c>
      <c r="V826" t="s">
        <v>10954</v>
      </c>
      <c r="W826" t="s">
        <v>10955</v>
      </c>
      <c r="X826" t="s">
        <v>3250</v>
      </c>
      <c r="Y826" t="s">
        <v>10956</v>
      </c>
      <c r="Z826" t="s">
        <v>10957</v>
      </c>
      <c r="AA826" t="s">
        <v>10958</v>
      </c>
      <c r="AB826" t="s">
        <v>10959</v>
      </c>
      <c r="AC826" t="s">
        <v>74</v>
      </c>
      <c r="AD826" t="s">
        <v>74</v>
      </c>
      <c r="AE826" t="s">
        <v>74</v>
      </c>
      <c r="AF826" t="s">
        <v>74</v>
      </c>
      <c r="AG826">
        <v>51</v>
      </c>
      <c r="AH826">
        <v>64</v>
      </c>
      <c r="AI826">
        <v>81</v>
      </c>
      <c r="AJ826">
        <v>0</v>
      </c>
      <c r="AK826">
        <v>9</v>
      </c>
      <c r="AL826" t="s">
        <v>1037</v>
      </c>
      <c r="AM826" t="s">
        <v>1038</v>
      </c>
      <c r="AN826" t="s">
        <v>1039</v>
      </c>
      <c r="AO826" t="s">
        <v>10960</v>
      </c>
      <c r="AP826" t="s">
        <v>74</v>
      </c>
      <c r="AQ826" t="s">
        <v>74</v>
      </c>
      <c r="AR826" t="s">
        <v>10961</v>
      </c>
      <c r="AS826" t="s">
        <v>10962</v>
      </c>
      <c r="AT826" t="s">
        <v>10131</v>
      </c>
      <c r="AU826">
        <v>1998</v>
      </c>
      <c r="AV826">
        <v>89</v>
      </c>
      <c r="AW826" t="s">
        <v>1282</v>
      </c>
      <c r="AX826" t="s">
        <v>74</v>
      </c>
      <c r="AY826" t="s">
        <v>74</v>
      </c>
      <c r="AZ826" t="s">
        <v>74</v>
      </c>
      <c r="BA826" t="s">
        <v>74</v>
      </c>
      <c r="BB826">
        <v>175</v>
      </c>
      <c r="BC826">
        <v>205</v>
      </c>
      <c r="BD826" t="s">
        <v>74</v>
      </c>
      <c r="BE826" t="s">
        <v>10963</v>
      </c>
      <c r="BF826" t="str">
        <f>HYPERLINK("http://dx.doi.org/10.1016/S0301-9268(98)00031-X","http://dx.doi.org/10.1016/S0301-9268(98)00031-X")</f>
        <v>http://dx.doi.org/10.1016/S0301-9268(98)00031-X</v>
      </c>
      <c r="BG826" t="s">
        <v>74</v>
      </c>
      <c r="BH826" t="s">
        <v>74</v>
      </c>
      <c r="BI826">
        <v>31</v>
      </c>
      <c r="BJ826" t="s">
        <v>192</v>
      </c>
      <c r="BK826" t="s">
        <v>95</v>
      </c>
      <c r="BL826" t="s">
        <v>193</v>
      </c>
      <c r="BM826" t="s">
        <v>10964</v>
      </c>
      <c r="BN826" t="s">
        <v>74</v>
      </c>
      <c r="BO826" t="s">
        <v>74</v>
      </c>
      <c r="BP826" t="s">
        <v>74</v>
      </c>
      <c r="BQ826" t="s">
        <v>74</v>
      </c>
      <c r="BR826" t="s">
        <v>98</v>
      </c>
      <c r="BS826" t="s">
        <v>10965</v>
      </c>
      <c r="BT826" t="str">
        <f>HYPERLINK("https%3A%2F%2Fwww.webofscience.com%2Fwos%2Fwoscc%2Ffull-record%2FWOS:000074019800004","View Full Record in Web of Science")</f>
        <v>View Full Record in Web of Science</v>
      </c>
    </row>
    <row r="827" spans="1:72" x14ac:dyDescent="0.15">
      <c r="A827" t="s">
        <v>72</v>
      </c>
      <c r="B827" t="s">
        <v>10966</v>
      </c>
      <c r="C827" t="s">
        <v>74</v>
      </c>
      <c r="D827" t="s">
        <v>74</v>
      </c>
      <c r="E827" t="s">
        <v>74</v>
      </c>
      <c r="F827" t="s">
        <v>10966</v>
      </c>
      <c r="G827" t="s">
        <v>74</v>
      </c>
      <c r="H827" t="s">
        <v>74</v>
      </c>
      <c r="I827" t="s">
        <v>10967</v>
      </c>
      <c r="J827" t="s">
        <v>10968</v>
      </c>
      <c r="K827" t="s">
        <v>74</v>
      </c>
      <c r="L827" t="s">
        <v>74</v>
      </c>
      <c r="M827" t="s">
        <v>77</v>
      </c>
      <c r="N827" t="s">
        <v>103</v>
      </c>
      <c r="O827" t="s">
        <v>74</v>
      </c>
      <c r="P827" t="s">
        <v>74</v>
      </c>
      <c r="Q827" t="s">
        <v>74</v>
      </c>
      <c r="R827" t="s">
        <v>74</v>
      </c>
      <c r="S827" t="s">
        <v>74</v>
      </c>
      <c r="T827" t="s">
        <v>74</v>
      </c>
      <c r="U827" t="s">
        <v>74</v>
      </c>
      <c r="V827" t="s">
        <v>10969</v>
      </c>
      <c r="W827" t="s">
        <v>10970</v>
      </c>
      <c r="X827" t="s">
        <v>10971</v>
      </c>
      <c r="Y827" t="s">
        <v>10972</v>
      </c>
      <c r="Z827" t="s">
        <v>10973</v>
      </c>
      <c r="AA827" t="s">
        <v>10974</v>
      </c>
      <c r="AB827" t="s">
        <v>10975</v>
      </c>
      <c r="AC827" t="s">
        <v>74</v>
      </c>
      <c r="AD827" t="s">
        <v>74</v>
      </c>
      <c r="AE827" t="s">
        <v>74</v>
      </c>
      <c r="AF827" t="s">
        <v>74</v>
      </c>
      <c r="AG827">
        <v>8</v>
      </c>
      <c r="AH827">
        <v>21</v>
      </c>
      <c r="AI827">
        <v>24</v>
      </c>
      <c r="AJ827">
        <v>0</v>
      </c>
      <c r="AK827">
        <v>2</v>
      </c>
      <c r="AL827" t="s">
        <v>4157</v>
      </c>
      <c r="AM827" t="s">
        <v>4158</v>
      </c>
      <c r="AN827" t="s">
        <v>10976</v>
      </c>
      <c r="AO827" t="s">
        <v>10977</v>
      </c>
      <c r="AP827" t="s">
        <v>10978</v>
      </c>
      <c r="AQ827" t="s">
        <v>74</v>
      </c>
      <c r="AR827" t="s">
        <v>10979</v>
      </c>
      <c r="AS827" t="s">
        <v>10980</v>
      </c>
      <c r="AT827" t="s">
        <v>10131</v>
      </c>
      <c r="AU827">
        <v>1998</v>
      </c>
      <c r="AV827">
        <v>110</v>
      </c>
      <c r="AW827">
        <v>748</v>
      </c>
      <c r="AX827" t="s">
        <v>74</v>
      </c>
      <c r="AY827" t="s">
        <v>74</v>
      </c>
      <c r="AZ827" t="s">
        <v>74</v>
      </c>
      <c r="BA827" t="s">
        <v>74</v>
      </c>
      <c r="BB827">
        <v>747</v>
      </c>
      <c r="BC827">
        <v>753</v>
      </c>
      <c r="BD827" t="s">
        <v>74</v>
      </c>
      <c r="BE827" t="s">
        <v>10981</v>
      </c>
      <c r="BF827" t="str">
        <f>HYPERLINK("http://dx.doi.org/10.1086/316170","http://dx.doi.org/10.1086/316170")</f>
        <v>http://dx.doi.org/10.1086/316170</v>
      </c>
      <c r="BG827" t="s">
        <v>74</v>
      </c>
      <c r="BH827" t="s">
        <v>74</v>
      </c>
      <c r="BI827">
        <v>7</v>
      </c>
      <c r="BJ827" t="s">
        <v>1464</v>
      </c>
      <c r="BK827" t="s">
        <v>95</v>
      </c>
      <c r="BL827" t="s">
        <v>1464</v>
      </c>
      <c r="BM827" t="s">
        <v>10982</v>
      </c>
      <c r="BN827" t="s">
        <v>74</v>
      </c>
      <c r="BO827" t="s">
        <v>986</v>
      </c>
      <c r="BP827" t="s">
        <v>74</v>
      </c>
      <c r="BQ827" t="s">
        <v>74</v>
      </c>
      <c r="BR827" t="s">
        <v>98</v>
      </c>
      <c r="BS827" t="s">
        <v>10983</v>
      </c>
      <c r="BT827" t="str">
        <f>HYPERLINK("https%3A%2F%2Fwww.webofscience.com%2Fwos%2Fwoscc%2Ffull-record%2FWOS:000074208400012","View Full Record in Web of Science")</f>
        <v>View Full Record in Web of Science</v>
      </c>
    </row>
    <row r="828" spans="1:72" x14ac:dyDescent="0.15">
      <c r="A828" t="s">
        <v>72</v>
      </c>
      <c r="B828" t="s">
        <v>10984</v>
      </c>
      <c r="C828" t="s">
        <v>74</v>
      </c>
      <c r="D828" t="s">
        <v>74</v>
      </c>
      <c r="E828" t="s">
        <v>74</v>
      </c>
      <c r="F828" t="s">
        <v>10984</v>
      </c>
      <c r="G828" t="s">
        <v>74</v>
      </c>
      <c r="H828" t="s">
        <v>74</v>
      </c>
      <c r="I828" t="s">
        <v>10985</v>
      </c>
      <c r="J828" t="s">
        <v>10986</v>
      </c>
      <c r="K828" t="s">
        <v>74</v>
      </c>
      <c r="L828" t="s">
        <v>74</v>
      </c>
      <c r="M828" t="s">
        <v>77</v>
      </c>
      <c r="N828" t="s">
        <v>103</v>
      </c>
      <c r="O828" t="s">
        <v>74</v>
      </c>
      <c r="P828" t="s">
        <v>74</v>
      </c>
      <c r="Q828" t="s">
        <v>74</v>
      </c>
      <c r="R828" t="s">
        <v>74</v>
      </c>
      <c r="S828" t="s">
        <v>74</v>
      </c>
      <c r="T828" t="s">
        <v>10987</v>
      </c>
      <c r="U828" t="s">
        <v>10988</v>
      </c>
      <c r="V828" t="s">
        <v>10989</v>
      </c>
      <c r="W828" t="s">
        <v>10990</v>
      </c>
      <c r="X828" t="s">
        <v>10991</v>
      </c>
      <c r="Y828" t="s">
        <v>10992</v>
      </c>
      <c r="Z828" t="s">
        <v>74</v>
      </c>
      <c r="AA828" t="s">
        <v>10993</v>
      </c>
      <c r="AB828" t="s">
        <v>74</v>
      </c>
      <c r="AC828" t="s">
        <v>74</v>
      </c>
      <c r="AD828" t="s">
        <v>74</v>
      </c>
      <c r="AE828" t="s">
        <v>74</v>
      </c>
      <c r="AF828" t="s">
        <v>74</v>
      </c>
      <c r="AG828">
        <v>23</v>
      </c>
      <c r="AH828">
        <v>10</v>
      </c>
      <c r="AI828">
        <v>12</v>
      </c>
      <c r="AJ828">
        <v>0</v>
      </c>
      <c r="AK828">
        <v>0</v>
      </c>
      <c r="AL828" t="s">
        <v>297</v>
      </c>
      <c r="AM828" t="s">
        <v>298</v>
      </c>
      <c r="AN828" t="s">
        <v>299</v>
      </c>
      <c r="AO828" t="s">
        <v>10994</v>
      </c>
      <c r="AP828" t="s">
        <v>74</v>
      </c>
      <c r="AQ828" t="s">
        <v>74</v>
      </c>
      <c r="AR828" t="s">
        <v>10995</v>
      </c>
      <c r="AS828" t="s">
        <v>10996</v>
      </c>
      <c r="AT828" t="s">
        <v>10131</v>
      </c>
      <c r="AU828">
        <v>1998</v>
      </c>
      <c r="AV828">
        <v>41</v>
      </c>
      <c r="AW828">
        <v>3</v>
      </c>
      <c r="AX828" t="s">
        <v>74</v>
      </c>
      <c r="AY828" t="s">
        <v>74</v>
      </c>
      <c r="AZ828" t="s">
        <v>74</v>
      </c>
      <c r="BA828" t="s">
        <v>74</v>
      </c>
      <c r="BB828">
        <v>225</v>
      </c>
      <c r="BC828">
        <v>229</v>
      </c>
      <c r="BD828" t="s">
        <v>74</v>
      </c>
      <c r="BE828" t="s">
        <v>74</v>
      </c>
      <c r="BF828" t="s">
        <v>74</v>
      </c>
      <c r="BG828" t="s">
        <v>74</v>
      </c>
      <c r="BH828" t="s">
        <v>74</v>
      </c>
      <c r="BI828">
        <v>5</v>
      </c>
      <c r="BJ828" t="s">
        <v>192</v>
      </c>
      <c r="BK828" t="s">
        <v>95</v>
      </c>
      <c r="BL828" t="s">
        <v>193</v>
      </c>
      <c r="BM828" t="s">
        <v>10997</v>
      </c>
      <c r="BN828" t="s">
        <v>74</v>
      </c>
      <c r="BO828" t="s">
        <v>74</v>
      </c>
      <c r="BP828" t="s">
        <v>74</v>
      </c>
      <c r="BQ828" t="s">
        <v>74</v>
      </c>
      <c r="BR828" t="s">
        <v>98</v>
      </c>
      <c r="BS828" t="s">
        <v>10998</v>
      </c>
      <c r="BT828" t="str">
        <f>HYPERLINK("https%3A%2F%2Fwww.webofscience.com%2Fwos%2Fwoscc%2Ffull-record%2FWOS:000074448100001","View Full Record in Web of Science")</f>
        <v>View Full Record in Web of Science</v>
      </c>
    </row>
    <row r="829" spans="1:72" x14ac:dyDescent="0.15">
      <c r="A829" t="s">
        <v>72</v>
      </c>
      <c r="B829" t="s">
        <v>10999</v>
      </c>
      <c r="C829" t="s">
        <v>74</v>
      </c>
      <c r="D829" t="s">
        <v>74</v>
      </c>
      <c r="E829" t="s">
        <v>74</v>
      </c>
      <c r="F829" t="s">
        <v>10999</v>
      </c>
      <c r="G829" t="s">
        <v>74</v>
      </c>
      <c r="H829" t="s">
        <v>74</v>
      </c>
      <c r="I829" t="s">
        <v>11000</v>
      </c>
      <c r="J829" t="s">
        <v>10986</v>
      </c>
      <c r="K829" t="s">
        <v>74</v>
      </c>
      <c r="L829" t="s">
        <v>74</v>
      </c>
      <c r="M829" t="s">
        <v>77</v>
      </c>
      <c r="N829" t="s">
        <v>103</v>
      </c>
      <c r="O829" t="s">
        <v>74</v>
      </c>
      <c r="P829" t="s">
        <v>74</v>
      </c>
      <c r="Q829" t="s">
        <v>74</v>
      </c>
      <c r="R829" t="s">
        <v>74</v>
      </c>
      <c r="S829" t="s">
        <v>74</v>
      </c>
      <c r="T829" t="s">
        <v>11001</v>
      </c>
      <c r="U829" t="s">
        <v>11002</v>
      </c>
      <c r="V829" t="s">
        <v>11003</v>
      </c>
      <c r="W829" t="s">
        <v>11004</v>
      </c>
      <c r="X829" t="s">
        <v>11005</v>
      </c>
      <c r="Y829" t="s">
        <v>11006</v>
      </c>
      <c r="Z829" t="s">
        <v>74</v>
      </c>
      <c r="AA829" t="s">
        <v>74</v>
      </c>
      <c r="AB829" t="s">
        <v>74</v>
      </c>
      <c r="AC829" t="s">
        <v>74</v>
      </c>
      <c r="AD829" t="s">
        <v>74</v>
      </c>
      <c r="AE829" t="s">
        <v>74</v>
      </c>
      <c r="AF829" t="s">
        <v>74</v>
      </c>
      <c r="AG829">
        <v>10</v>
      </c>
      <c r="AH829">
        <v>0</v>
      </c>
      <c r="AI829">
        <v>3</v>
      </c>
      <c r="AJ829">
        <v>0</v>
      </c>
      <c r="AK829">
        <v>1</v>
      </c>
      <c r="AL829" t="s">
        <v>297</v>
      </c>
      <c r="AM829" t="s">
        <v>298</v>
      </c>
      <c r="AN829" t="s">
        <v>299</v>
      </c>
      <c r="AO829" t="s">
        <v>10994</v>
      </c>
      <c r="AP829" t="s">
        <v>74</v>
      </c>
      <c r="AQ829" t="s">
        <v>74</v>
      </c>
      <c r="AR829" t="s">
        <v>10995</v>
      </c>
      <c r="AS829" t="s">
        <v>10996</v>
      </c>
      <c r="AT829" t="s">
        <v>10131</v>
      </c>
      <c r="AU829">
        <v>1998</v>
      </c>
      <c r="AV829">
        <v>41</v>
      </c>
      <c r="AW829">
        <v>3</v>
      </c>
      <c r="AX829" t="s">
        <v>74</v>
      </c>
      <c r="AY829" t="s">
        <v>74</v>
      </c>
      <c r="AZ829" t="s">
        <v>74</v>
      </c>
      <c r="BA829" t="s">
        <v>74</v>
      </c>
      <c r="BB829">
        <v>262</v>
      </c>
      <c r="BC829">
        <v>268</v>
      </c>
      <c r="BD829" t="s">
        <v>74</v>
      </c>
      <c r="BE829" t="s">
        <v>74</v>
      </c>
      <c r="BF829" t="s">
        <v>74</v>
      </c>
      <c r="BG829" t="s">
        <v>74</v>
      </c>
      <c r="BH829" t="s">
        <v>74</v>
      </c>
      <c r="BI829">
        <v>7</v>
      </c>
      <c r="BJ829" t="s">
        <v>192</v>
      </c>
      <c r="BK829" t="s">
        <v>95</v>
      </c>
      <c r="BL829" t="s">
        <v>193</v>
      </c>
      <c r="BM829" t="s">
        <v>10997</v>
      </c>
      <c r="BN829" t="s">
        <v>74</v>
      </c>
      <c r="BO829" t="s">
        <v>74</v>
      </c>
      <c r="BP829" t="s">
        <v>74</v>
      </c>
      <c r="BQ829" t="s">
        <v>74</v>
      </c>
      <c r="BR829" t="s">
        <v>98</v>
      </c>
      <c r="BS829" t="s">
        <v>11007</v>
      </c>
      <c r="BT829" t="str">
        <f>HYPERLINK("https%3A%2F%2Fwww.webofscience.com%2Fwos%2Fwoscc%2Ffull-record%2FWOS:000074448100007","View Full Record in Web of Science")</f>
        <v>View Full Record in Web of Science</v>
      </c>
    </row>
    <row r="830" spans="1:72" x14ac:dyDescent="0.15">
      <c r="A830" t="s">
        <v>72</v>
      </c>
      <c r="B830" t="s">
        <v>11008</v>
      </c>
      <c r="C830" t="s">
        <v>74</v>
      </c>
      <c r="D830" t="s">
        <v>74</v>
      </c>
      <c r="E830" t="s">
        <v>74</v>
      </c>
      <c r="F830" t="s">
        <v>11008</v>
      </c>
      <c r="G830" t="s">
        <v>74</v>
      </c>
      <c r="H830" t="s">
        <v>74</v>
      </c>
      <c r="I830" t="s">
        <v>11009</v>
      </c>
      <c r="J830" t="s">
        <v>8827</v>
      </c>
      <c r="K830" t="s">
        <v>74</v>
      </c>
      <c r="L830" t="s">
        <v>74</v>
      </c>
      <c r="M830" t="s">
        <v>77</v>
      </c>
      <c r="N830" t="s">
        <v>103</v>
      </c>
      <c r="O830" t="s">
        <v>74</v>
      </c>
      <c r="P830" t="s">
        <v>74</v>
      </c>
      <c r="Q830" t="s">
        <v>74</v>
      </c>
      <c r="R830" t="s">
        <v>74</v>
      </c>
      <c r="S830" t="s">
        <v>74</v>
      </c>
      <c r="T830" t="s">
        <v>11010</v>
      </c>
      <c r="U830" t="s">
        <v>11011</v>
      </c>
      <c r="V830" t="s">
        <v>11012</v>
      </c>
      <c r="W830" t="s">
        <v>11013</v>
      </c>
      <c r="X830" t="s">
        <v>11014</v>
      </c>
      <c r="Y830" t="s">
        <v>11015</v>
      </c>
      <c r="Z830" t="s">
        <v>74</v>
      </c>
      <c r="AA830" t="s">
        <v>74</v>
      </c>
      <c r="AB830" t="s">
        <v>74</v>
      </c>
      <c r="AC830" t="s">
        <v>74</v>
      </c>
      <c r="AD830" t="s">
        <v>74</v>
      </c>
      <c r="AE830" t="s">
        <v>74</v>
      </c>
      <c r="AF830" t="s">
        <v>74</v>
      </c>
      <c r="AG830">
        <v>48</v>
      </c>
      <c r="AH830">
        <v>64</v>
      </c>
      <c r="AI830">
        <v>71</v>
      </c>
      <c r="AJ830">
        <v>0</v>
      </c>
      <c r="AK830">
        <v>7</v>
      </c>
      <c r="AL830" t="s">
        <v>5639</v>
      </c>
      <c r="AM830" t="s">
        <v>4772</v>
      </c>
      <c r="AN830" t="s">
        <v>5640</v>
      </c>
      <c r="AO830" t="s">
        <v>8835</v>
      </c>
      <c r="AP830" t="s">
        <v>74</v>
      </c>
      <c r="AQ830" t="s">
        <v>74</v>
      </c>
      <c r="AR830" t="s">
        <v>8836</v>
      </c>
      <c r="AS830" t="s">
        <v>8837</v>
      </c>
      <c r="AT830" t="s">
        <v>10131</v>
      </c>
      <c r="AU830">
        <v>1998</v>
      </c>
      <c r="AV830">
        <v>21</v>
      </c>
      <c r="AW830">
        <v>2</v>
      </c>
      <c r="AX830" t="s">
        <v>74</v>
      </c>
      <c r="AY830" t="s">
        <v>74</v>
      </c>
      <c r="AZ830" t="s">
        <v>74</v>
      </c>
      <c r="BA830" t="s">
        <v>74</v>
      </c>
      <c r="BB830">
        <v>306</v>
      </c>
      <c r="BC830">
        <v>314</v>
      </c>
      <c r="BD830" t="s">
        <v>74</v>
      </c>
      <c r="BE830" t="s">
        <v>11016</v>
      </c>
      <c r="BF830" t="str">
        <f>HYPERLINK("http://dx.doi.org/10.1016/S0723-2020(98)80038-6","http://dx.doi.org/10.1016/S0723-2020(98)80038-6")</f>
        <v>http://dx.doi.org/10.1016/S0723-2020(98)80038-6</v>
      </c>
      <c r="BG830" t="s">
        <v>74</v>
      </c>
      <c r="BH830" t="s">
        <v>74</v>
      </c>
      <c r="BI830">
        <v>9</v>
      </c>
      <c r="BJ830" t="s">
        <v>1722</v>
      </c>
      <c r="BK830" t="s">
        <v>95</v>
      </c>
      <c r="BL830" t="s">
        <v>1722</v>
      </c>
      <c r="BM830" t="s">
        <v>11017</v>
      </c>
      <c r="BN830">
        <v>9704115</v>
      </c>
      <c r="BO830" t="s">
        <v>74</v>
      </c>
      <c r="BP830" t="s">
        <v>74</v>
      </c>
      <c r="BQ830" t="s">
        <v>74</v>
      </c>
      <c r="BR830" t="s">
        <v>98</v>
      </c>
      <c r="BS830" t="s">
        <v>11018</v>
      </c>
      <c r="BT830" t="str">
        <f>HYPERLINK("https%3A%2F%2Fwww.webofscience.com%2Fwos%2Fwoscc%2Ffull-record%2FWOS:000074998800018","View Full Record in Web of Science")</f>
        <v>View Full Record in Web of Science</v>
      </c>
    </row>
    <row r="831" spans="1:72" x14ac:dyDescent="0.15">
      <c r="A831" t="s">
        <v>72</v>
      </c>
      <c r="B831" t="s">
        <v>11019</v>
      </c>
      <c r="C831" t="s">
        <v>74</v>
      </c>
      <c r="D831" t="s">
        <v>74</v>
      </c>
      <c r="E831" t="s">
        <v>74</v>
      </c>
      <c r="F831" t="s">
        <v>11019</v>
      </c>
      <c r="G831" t="s">
        <v>74</v>
      </c>
      <c r="H831" t="s">
        <v>74</v>
      </c>
      <c r="I831" t="s">
        <v>11020</v>
      </c>
      <c r="J831" t="s">
        <v>11021</v>
      </c>
      <c r="K831" t="s">
        <v>74</v>
      </c>
      <c r="L831" t="s">
        <v>74</v>
      </c>
      <c r="M831" t="s">
        <v>77</v>
      </c>
      <c r="N831" t="s">
        <v>103</v>
      </c>
      <c r="O831" t="s">
        <v>74</v>
      </c>
      <c r="P831" t="s">
        <v>74</v>
      </c>
      <c r="Q831" t="s">
        <v>74</v>
      </c>
      <c r="R831" t="s">
        <v>74</v>
      </c>
      <c r="S831" t="s">
        <v>74</v>
      </c>
      <c r="T831" t="s">
        <v>11022</v>
      </c>
      <c r="U831" t="s">
        <v>11023</v>
      </c>
      <c r="V831" t="s">
        <v>11024</v>
      </c>
      <c r="W831" t="s">
        <v>11025</v>
      </c>
      <c r="X831" t="s">
        <v>11026</v>
      </c>
      <c r="Y831" t="s">
        <v>11027</v>
      </c>
      <c r="Z831" t="s">
        <v>74</v>
      </c>
      <c r="AA831" t="s">
        <v>74</v>
      </c>
      <c r="AB831" t="s">
        <v>74</v>
      </c>
      <c r="AC831" t="s">
        <v>74</v>
      </c>
      <c r="AD831" t="s">
        <v>74</v>
      </c>
      <c r="AE831" t="s">
        <v>74</v>
      </c>
      <c r="AF831" t="s">
        <v>74</v>
      </c>
      <c r="AG831">
        <v>33</v>
      </c>
      <c r="AH831">
        <v>16</v>
      </c>
      <c r="AI831">
        <v>17</v>
      </c>
      <c r="AJ831">
        <v>0</v>
      </c>
      <c r="AK831">
        <v>10</v>
      </c>
      <c r="AL831" t="s">
        <v>1275</v>
      </c>
      <c r="AM831" t="s">
        <v>1147</v>
      </c>
      <c r="AN831" t="s">
        <v>10269</v>
      </c>
      <c r="AO831" t="s">
        <v>11028</v>
      </c>
      <c r="AP831" t="s">
        <v>74</v>
      </c>
      <c r="AQ831" t="s">
        <v>74</v>
      </c>
      <c r="AR831" t="s">
        <v>11029</v>
      </c>
      <c r="AS831" t="s">
        <v>11030</v>
      </c>
      <c r="AT831" t="s">
        <v>10131</v>
      </c>
      <c r="AU831">
        <v>1998</v>
      </c>
      <c r="AV831">
        <v>161</v>
      </c>
      <c r="AW831">
        <v>3</v>
      </c>
      <c r="AX831" t="s">
        <v>74</v>
      </c>
      <c r="AY831" t="s">
        <v>74</v>
      </c>
      <c r="AZ831" t="s">
        <v>74</v>
      </c>
      <c r="BA831" t="s">
        <v>74</v>
      </c>
      <c r="BB831">
        <v>211</v>
      </c>
      <c r="BC831">
        <v>220</v>
      </c>
      <c r="BD831" t="s">
        <v>74</v>
      </c>
      <c r="BE831" t="s">
        <v>11031</v>
      </c>
      <c r="BF831" t="str">
        <f>HYPERLINK("http://dx.doi.org/10.1002/jpln.1998.3581610306","http://dx.doi.org/10.1002/jpln.1998.3581610306")</f>
        <v>http://dx.doi.org/10.1002/jpln.1998.3581610306</v>
      </c>
      <c r="BG831" t="s">
        <v>74</v>
      </c>
      <c r="BH831" t="s">
        <v>74</v>
      </c>
      <c r="BI831">
        <v>10</v>
      </c>
      <c r="BJ831" t="s">
        <v>11032</v>
      </c>
      <c r="BK831" t="s">
        <v>95</v>
      </c>
      <c r="BL831" t="s">
        <v>11033</v>
      </c>
      <c r="BM831" t="s">
        <v>11034</v>
      </c>
      <c r="BN831" t="s">
        <v>74</v>
      </c>
      <c r="BO831" t="s">
        <v>74</v>
      </c>
      <c r="BP831" t="s">
        <v>74</v>
      </c>
      <c r="BQ831" t="s">
        <v>74</v>
      </c>
      <c r="BR831" t="s">
        <v>98</v>
      </c>
      <c r="BS831" t="s">
        <v>11035</v>
      </c>
      <c r="BT831" t="str">
        <f>HYPERLINK("https%3A%2F%2Fwww.webofscience.com%2Fwos%2Fwoscc%2Ffull-record%2FWOS:000074373900005","View Full Record in Web of Science")</f>
        <v>View Full Record in Web of Science</v>
      </c>
    </row>
    <row r="832" spans="1:72" x14ac:dyDescent="0.15">
      <c r="A832" t="s">
        <v>72</v>
      </c>
      <c r="B832" t="s">
        <v>11036</v>
      </c>
      <c r="C832" t="s">
        <v>74</v>
      </c>
      <c r="D832" t="s">
        <v>74</v>
      </c>
      <c r="E832" t="s">
        <v>74</v>
      </c>
      <c r="F832" t="s">
        <v>11036</v>
      </c>
      <c r="G832" t="s">
        <v>74</v>
      </c>
      <c r="H832" t="s">
        <v>74</v>
      </c>
      <c r="I832" t="s">
        <v>11037</v>
      </c>
      <c r="J832" t="s">
        <v>3624</v>
      </c>
      <c r="K832" t="s">
        <v>74</v>
      </c>
      <c r="L832" t="s">
        <v>74</v>
      </c>
      <c r="M832" t="s">
        <v>77</v>
      </c>
      <c r="N832" t="s">
        <v>103</v>
      </c>
      <c r="O832" t="s">
        <v>74</v>
      </c>
      <c r="P832" t="s">
        <v>74</v>
      </c>
      <c r="Q832" t="s">
        <v>74</v>
      </c>
      <c r="R832" t="s">
        <v>74</v>
      </c>
      <c r="S832" t="s">
        <v>74</v>
      </c>
      <c r="T832" t="s">
        <v>11038</v>
      </c>
      <c r="U832" t="s">
        <v>11039</v>
      </c>
      <c r="V832" t="s">
        <v>11040</v>
      </c>
      <c r="W832" t="s">
        <v>11041</v>
      </c>
      <c r="X832" t="s">
        <v>7728</v>
      </c>
      <c r="Y832" t="s">
        <v>11042</v>
      </c>
      <c r="Z832" t="s">
        <v>11043</v>
      </c>
      <c r="AA832" t="s">
        <v>11044</v>
      </c>
      <c r="AB832" t="s">
        <v>7732</v>
      </c>
      <c r="AC832" t="s">
        <v>74</v>
      </c>
      <c r="AD832" t="s">
        <v>74</v>
      </c>
      <c r="AE832" t="s">
        <v>74</v>
      </c>
      <c r="AF832" t="s">
        <v>74</v>
      </c>
      <c r="AG832">
        <v>40</v>
      </c>
      <c r="AH832">
        <v>30</v>
      </c>
      <c r="AI832">
        <v>32</v>
      </c>
      <c r="AJ832">
        <v>0</v>
      </c>
      <c r="AK832">
        <v>1</v>
      </c>
      <c r="AL832" t="s">
        <v>1037</v>
      </c>
      <c r="AM832" t="s">
        <v>1038</v>
      </c>
      <c r="AN832" t="s">
        <v>1039</v>
      </c>
      <c r="AO832" t="s">
        <v>3630</v>
      </c>
      <c r="AP832" t="s">
        <v>74</v>
      </c>
      <c r="AQ832" t="s">
        <v>74</v>
      </c>
      <c r="AR832" t="s">
        <v>3631</v>
      </c>
      <c r="AS832" t="s">
        <v>3632</v>
      </c>
      <c r="AT832" t="s">
        <v>11045</v>
      </c>
      <c r="AU832">
        <v>1998</v>
      </c>
      <c r="AV832">
        <v>158</v>
      </c>
      <c r="AW832" t="s">
        <v>1282</v>
      </c>
      <c r="AX832" t="s">
        <v>74</v>
      </c>
      <c r="AY832" t="s">
        <v>74</v>
      </c>
      <c r="AZ832" t="s">
        <v>74</v>
      </c>
      <c r="BA832" t="s">
        <v>74</v>
      </c>
      <c r="BB832">
        <v>143</v>
      </c>
      <c r="BC832">
        <v>155</v>
      </c>
      <c r="BD832" t="s">
        <v>74</v>
      </c>
      <c r="BE832" t="s">
        <v>11046</v>
      </c>
      <c r="BF832" t="str">
        <f>HYPERLINK("http://dx.doi.org/10.1016/S0012-821X(98)00054-5","http://dx.doi.org/10.1016/S0012-821X(98)00054-5")</f>
        <v>http://dx.doi.org/10.1016/S0012-821X(98)00054-5</v>
      </c>
      <c r="BG832" t="s">
        <v>74</v>
      </c>
      <c r="BH832" t="s">
        <v>74</v>
      </c>
      <c r="BI832">
        <v>13</v>
      </c>
      <c r="BJ832" t="s">
        <v>303</v>
      </c>
      <c r="BK832" t="s">
        <v>95</v>
      </c>
      <c r="BL832" t="s">
        <v>303</v>
      </c>
      <c r="BM832" t="s">
        <v>11047</v>
      </c>
      <c r="BN832" t="s">
        <v>74</v>
      </c>
      <c r="BO832" t="s">
        <v>74</v>
      </c>
      <c r="BP832" t="s">
        <v>74</v>
      </c>
      <c r="BQ832" t="s">
        <v>74</v>
      </c>
      <c r="BR832" t="s">
        <v>98</v>
      </c>
      <c r="BS832" t="s">
        <v>11048</v>
      </c>
      <c r="BT832" t="str">
        <f>HYPERLINK("https%3A%2F%2Fwww.webofscience.com%2Fwos%2Fwoscc%2Ffull-record%2FWOS:000074135400005","View Full Record in Web of Science")</f>
        <v>View Full Record in Web of Science</v>
      </c>
    </row>
    <row r="833" spans="1:72" x14ac:dyDescent="0.15">
      <c r="A833" t="s">
        <v>72</v>
      </c>
      <c r="B833" t="s">
        <v>11049</v>
      </c>
      <c r="C833" t="s">
        <v>74</v>
      </c>
      <c r="D833" t="s">
        <v>74</v>
      </c>
      <c r="E833" t="s">
        <v>74</v>
      </c>
      <c r="F833" t="s">
        <v>11049</v>
      </c>
      <c r="G833" t="s">
        <v>74</v>
      </c>
      <c r="H833" t="s">
        <v>74</v>
      </c>
      <c r="I833" t="s">
        <v>11050</v>
      </c>
      <c r="J833" t="s">
        <v>6726</v>
      </c>
      <c r="K833" t="s">
        <v>74</v>
      </c>
      <c r="L833" t="s">
        <v>74</v>
      </c>
      <c r="M833" t="s">
        <v>77</v>
      </c>
      <c r="N833" t="s">
        <v>78</v>
      </c>
      <c r="O833" t="s">
        <v>74</v>
      </c>
      <c r="P833" t="s">
        <v>74</v>
      </c>
      <c r="Q833" t="s">
        <v>74</v>
      </c>
      <c r="R833" t="s">
        <v>74</v>
      </c>
      <c r="S833" t="s">
        <v>74</v>
      </c>
      <c r="T833" t="s">
        <v>74</v>
      </c>
      <c r="U833" t="s">
        <v>11051</v>
      </c>
      <c r="V833" t="s">
        <v>11052</v>
      </c>
      <c r="W833" t="s">
        <v>11053</v>
      </c>
      <c r="X833" t="s">
        <v>11054</v>
      </c>
      <c r="Y833" t="s">
        <v>11055</v>
      </c>
      <c r="Z833" t="s">
        <v>74</v>
      </c>
      <c r="AA833" t="s">
        <v>74</v>
      </c>
      <c r="AB833" t="s">
        <v>11056</v>
      </c>
      <c r="AC833" t="s">
        <v>74</v>
      </c>
      <c r="AD833" t="s">
        <v>74</v>
      </c>
      <c r="AE833" t="s">
        <v>74</v>
      </c>
      <c r="AF833" t="s">
        <v>74</v>
      </c>
      <c r="AG833">
        <v>119</v>
      </c>
      <c r="AH833">
        <v>219</v>
      </c>
      <c r="AI833">
        <v>259</v>
      </c>
      <c r="AJ833">
        <v>2</v>
      </c>
      <c r="AK833">
        <v>106</v>
      </c>
      <c r="AL833" t="s">
        <v>9123</v>
      </c>
      <c r="AM833" t="s">
        <v>1121</v>
      </c>
      <c r="AN833" t="s">
        <v>9124</v>
      </c>
      <c r="AO833" t="s">
        <v>6733</v>
      </c>
      <c r="AP833" t="s">
        <v>9125</v>
      </c>
      <c r="AQ833" t="s">
        <v>74</v>
      </c>
      <c r="AR833" t="s">
        <v>6726</v>
      </c>
      <c r="AS833" t="s">
        <v>6734</v>
      </c>
      <c r="AT833" t="s">
        <v>11057</v>
      </c>
      <c r="AU833">
        <v>1998</v>
      </c>
      <c r="AV833">
        <v>393</v>
      </c>
      <c r="AW833">
        <v>6683</v>
      </c>
      <c r="AX833" t="s">
        <v>74</v>
      </c>
      <c r="AY833" t="s">
        <v>74</v>
      </c>
      <c r="AZ833" t="s">
        <v>74</v>
      </c>
      <c r="BA833" t="s">
        <v>74</v>
      </c>
      <c r="BB833">
        <v>325</v>
      </c>
      <c r="BC833">
        <v>332</v>
      </c>
      <c r="BD833" t="s">
        <v>74</v>
      </c>
      <c r="BE833" t="s">
        <v>11058</v>
      </c>
      <c r="BF833" t="str">
        <f>HYPERLINK("http://dx.doi.org/10.1038/30661","http://dx.doi.org/10.1038/30661")</f>
        <v>http://dx.doi.org/10.1038/30661</v>
      </c>
      <c r="BG833" t="s">
        <v>74</v>
      </c>
      <c r="BH833" t="s">
        <v>74</v>
      </c>
      <c r="BI833">
        <v>8</v>
      </c>
      <c r="BJ833" t="s">
        <v>3377</v>
      </c>
      <c r="BK833" t="s">
        <v>95</v>
      </c>
      <c r="BL833" t="s">
        <v>3378</v>
      </c>
      <c r="BM833" t="s">
        <v>11059</v>
      </c>
      <c r="BN833" t="s">
        <v>74</v>
      </c>
      <c r="BO833" t="s">
        <v>74</v>
      </c>
      <c r="BP833" t="s">
        <v>74</v>
      </c>
      <c r="BQ833" t="s">
        <v>74</v>
      </c>
      <c r="BR833" t="s">
        <v>98</v>
      </c>
      <c r="BS833" t="s">
        <v>11060</v>
      </c>
      <c r="BT833" t="str">
        <f>HYPERLINK("https%3A%2F%2Fwww.webofscience.com%2Fwos%2Fwoscc%2Ffull-record%2FWOS:000073883600043","View Full Record in Web of Science")</f>
        <v>View Full Record in Web of Science</v>
      </c>
    </row>
    <row r="834" spans="1:72" x14ac:dyDescent="0.15">
      <c r="A834" t="s">
        <v>72</v>
      </c>
      <c r="B834" t="s">
        <v>11061</v>
      </c>
      <c r="C834" t="s">
        <v>74</v>
      </c>
      <c r="D834" t="s">
        <v>74</v>
      </c>
      <c r="E834" t="s">
        <v>74</v>
      </c>
      <c r="F834" t="s">
        <v>11061</v>
      </c>
      <c r="G834" t="s">
        <v>74</v>
      </c>
      <c r="H834" t="s">
        <v>74</v>
      </c>
      <c r="I834" t="s">
        <v>11062</v>
      </c>
      <c r="J834" t="s">
        <v>4802</v>
      </c>
      <c r="K834" t="s">
        <v>74</v>
      </c>
      <c r="L834" t="s">
        <v>74</v>
      </c>
      <c r="M834" t="s">
        <v>77</v>
      </c>
      <c r="N834" t="s">
        <v>103</v>
      </c>
      <c r="O834" t="s">
        <v>74</v>
      </c>
      <c r="P834" t="s">
        <v>74</v>
      </c>
      <c r="Q834" t="s">
        <v>74</v>
      </c>
      <c r="R834" t="s">
        <v>74</v>
      </c>
      <c r="S834" t="s">
        <v>74</v>
      </c>
      <c r="T834" t="s">
        <v>74</v>
      </c>
      <c r="U834" t="s">
        <v>11063</v>
      </c>
      <c r="V834" t="s">
        <v>11064</v>
      </c>
      <c r="W834" t="s">
        <v>11065</v>
      </c>
      <c r="X834" t="s">
        <v>11066</v>
      </c>
      <c r="Y834" t="s">
        <v>11067</v>
      </c>
      <c r="Z834" t="s">
        <v>11068</v>
      </c>
      <c r="AA834" t="s">
        <v>10521</v>
      </c>
      <c r="AB834" t="s">
        <v>74</v>
      </c>
      <c r="AC834" t="s">
        <v>74</v>
      </c>
      <c r="AD834" t="s">
        <v>74</v>
      </c>
      <c r="AE834" t="s">
        <v>74</v>
      </c>
      <c r="AF834" t="s">
        <v>74</v>
      </c>
      <c r="AG834">
        <v>59</v>
      </c>
      <c r="AH834">
        <v>25</v>
      </c>
      <c r="AI834">
        <v>26</v>
      </c>
      <c r="AJ834">
        <v>0</v>
      </c>
      <c r="AK834">
        <v>9</v>
      </c>
      <c r="AL834" t="s">
        <v>966</v>
      </c>
      <c r="AM834" t="s">
        <v>967</v>
      </c>
      <c r="AN834" t="s">
        <v>968</v>
      </c>
      <c r="AO834" t="s">
        <v>4811</v>
      </c>
      <c r="AP834" t="s">
        <v>4812</v>
      </c>
      <c r="AQ834" t="s">
        <v>74</v>
      </c>
      <c r="AR834" t="s">
        <v>4813</v>
      </c>
      <c r="AS834" t="s">
        <v>4814</v>
      </c>
      <c r="AT834" t="s">
        <v>11069</v>
      </c>
      <c r="AU834">
        <v>1998</v>
      </c>
      <c r="AV834">
        <v>103</v>
      </c>
      <c r="AW834" t="s">
        <v>11070</v>
      </c>
      <c r="AX834" t="s">
        <v>74</v>
      </c>
      <c r="AY834" t="s">
        <v>74</v>
      </c>
      <c r="AZ834" t="s">
        <v>74</v>
      </c>
      <c r="BA834" t="s">
        <v>74</v>
      </c>
      <c r="BB834">
        <v>11173</v>
      </c>
      <c r="BC834">
        <v>11189</v>
      </c>
      <c r="BD834" t="s">
        <v>74</v>
      </c>
      <c r="BE834" t="s">
        <v>11071</v>
      </c>
      <c r="BF834" t="str">
        <f>HYPERLINK("http://dx.doi.org/10.1029/98JD00624","http://dx.doi.org/10.1029/98JD00624")</f>
        <v>http://dx.doi.org/10.1029/98JD00624</v>
      </c>
      <c r="BG834" t="s">
        <v>74</v>
      </c>
      <c r="BH834" t="s">
        <v>74</v>
      </c>
      <c r="BI834">
        <v>17</v>
      </c>
      <c r="BJ834" t="s">
        <v>1418</v>
      </c>
      <c r="BK834" t="s">
        <v>95</v>
      </c>
      <c r="BL834" t="s">
        <v>1418</v>
      </c>
      <c r="BM834" t="s">
        <v>11072</v>
      </c>
      <c r="BN834" t="s">
        <v>74</v>
      </c>
      <c r="BO834" t="s">
        <v>5238</v>
      </c>
      <c r="BP834" t="s">
        <v>74</v>
      </c>
      <c r="BQ834" t="s">
        <v>74</v>
      </c>
      <c r="BR834" t="s">
        <v>98</v>
      </c>
      <c r="BS834" t="s">
        <v>11073</v>
      </c>
      <c r="BT834" t="str">
        <f>HYPERLINK("https%3A%2F%2Fwww.webofscience.com%2Fwos%2Fwoscc%2Ffull-record%2FWOS:000073758200002","View Full Record in Web of Science")</f>
        <v>View Full Record in Web of Science</v>
      </c>
    </row>
    <row r="835" spans="1:72" x14ac:dyDescent="0.15">
      <c r="A835" t="s">
        <v>72</v>
      </c>
      <c r="B835" t="s">
        <v>11074</v>
      </c>
      <c r="C835" t="s">
        <v>74</v>
      </c>
      <c r="D835" t="s">
        <v>74</v>
      </c>
      <c r="E835" t="s">
        <v>74</v>
      </c>
      <c r="F835" t="s">
        <v>11074</v>
      </c>
      <c r="G835" t="s">
        <v>74</v>
      </c>
      <c r="H835" t="s">
        <v>74</v>
      </c>
      <c r="I835" t="s">
        <v>11075</v>
      </c>
      <c r="J835" t="s">
        <v>5953</v>
      </c>
      <c r="K835" t="s">
        <v>74</v>
      </c>
      <c r="L835" t="s">
        <v>74</v>
      </c>
      <c r="M835" t="s">
        <v>77</v>
      </c>
      <c r="N835" t="s">
        <v>103</v>
      </c>
      <c r="O835" t="s">
        <v>74</v>
      </c>
      <c r="P835" t="s">
        <v>74</v>
      </c>
      <c r="Q835" t="s">
        <v>74</v>
      </c>
      <c r="R835" t="s">
        <v>74</v>
      </c>
      <c r="S835" t="s">
        <v>74</v>
      </c>
      <c r="T835" t="s">
        <v>74</v>
      </c>
      <c r="U835" t="s">
        <v>74</v>
      </c>
      <c r="V835" t="s">
        <v>74</v>
      </c>
      <c r="W835" t="s">
        <v>74</v>
      </c>
      <c r="X835" t="s">
        <v>74</v>
      </c>
      <c r="Y835" t="s">
        <v>74</v>
      </c>
      <c r="Z835" t="s">
        <v>74</v>
      </c>
      <c r="AA835" t="s">
        <v>74</v>
      </c>
      <c r="AB835" t="s">
        <v>74</v>
      </c>
      <c r="AC835" t="s">
        <v>74</v>
      </c>
      <c r="AD835" t="s">
        <v>74</v>
      </c>
      <c r="AE835" t="s">
        <v>74</v>
      </c>
      <c r="AF835" t="s">
        <v>74</v>
      </c>
      <c r="AG835">
        <v>0</v>
      </c>
      <c r="AH835">
        <v>0</v>
      </c>
      <c r="AI835">
        <v>0</v>
      </c>
      <c r="AJ835">
        <v>0</v>
      </c>
      <c r="AK835">
        <v>0</v>
      </c>
      <c r="AL835" t="s">
        <v>5956</v>
      </c>
      <c r="AM835" t="s">
        <v>278</v>
      </c>
      <c r="AN835" t="s">
        <v>5957</v>
      </c>
      <c r="AO835" t="s">
        <v>5958</v>
      </c>
      <c r="AP835" t="s">
        <v>74</v>
      </c>
      <c r="AQ835" t="s">
        <v>74</v>
      </c>
      <c r="AR835" t="s">
        <v>5959</v>
      </c>
      <c r="AS835" t="s">
        <v>5960</v>
      </c>
      <c r="AT835" t="s">
        <v>11076</v>
      </c>
      <c r="AU835">
        <v>1998</v>
      </c>
      <c r="AV835">
        <v>148</v>
      </c>
      <c r="AW835">
        <v>21</v>
      </c>
      <c r="AX835" t="s">
        <v>74</v>
      </c>
      <c r="AY835" t="s">
        <v>74</v>
      </c>
      <c r="AZ835" t="s">
        <v>74</v>
      </c>
      <c r="BA835" t="s">
        <v>74</v>
      </c>
      <c r="BB835">
        <v>73</v>
      </c>
      <c r="BC835">
        <v>74</v>
      </c>
      <c r="BD835" t="s">
        <v>74</v>
      </c>
      <c r="BE835" t="s">
        <v>74</v>
      </c>
      <c r="BF835" t="s">
        <v>74</v>
      </c>
      <c r="BG835" t="s">
        <v>74</v>
      </c>
      <c r="BH835" t="s">
        <v>74</v>
      </c>
      <c r="BI835">
        <v>2</v>
      </c>
      <c r="BJ835" t="s">
        <v>434</v>
      </c>
      <c r="BK835" t="s">
        <v>95</v>
      </c>
      <c r="BL835" t="s">
        <v>321</v>
      </c>
      <c r="BM835" t="s">
        <v>11077</v>
      </c>
      <c r="BN835" t="s">
        <v>74</v>
      </c>
      <c r="BO835" t="s">
        <v>74</v>
      </c>
      <c r="BP835" t="s">
        <v>74</v>
      </c>
      <c r="BQ835" t="s">
        <v>74</v>
      </c>
      <c r="BR835" t="s">
        <v>98</v>
      </c>
      <c r="BS835" t="s">
        <v>11078</v>
      </c>
      <c r="BT835" t="str">
        <f>HYPERLINK("https%3A%2F%2Fwww.webofscience.com%2Fwos%2Fwoscc%2Ffull-record%2FWOS:000073775100029","View Full Record in Web of Science")</f>
        <v>View Full Record in Web of Science</v>
      </c>
    </row>
    <row r="836" spans="1:72" x14ac:dyDescent="0.15">
      <c r="A836" t="s">
        <v>72</v>
      </c>
      <c r="B836" t="s">
        <v>11079</v>
      </c>
      <c r="C836" t="s">
        <v>74</v>
      </c>
      <c r="D836" t="s">
        <v>74</v>
      </c>
      <c r="E836" t="s">
        <v>74</v>
      </c>
      <c r="F836" t="s">
        <v>11079</v>
      </c>
      <c r="G836" t="s">
        <v>74</v>
      </c>
      <c r="H836" t="s">
        <v>74</v>
      </c>
      <c r="I836" t="s">
        <v>11080</v>
      </c>
      <c r="J836" t="s">
        <v>4912</v>
      </c>
      <c r="K836" t="s">
        <v>74</v>
      </c>
      <c r="L836" t="s">
        <v>74</v>
      </c>
      <c r="M836" t="s">
        <v>77</v>
      </c>
      <c r="N836" t="s">
        <v>103</v>
      </c>
      <c r="O836" t="s">
        <v>74</v>
      </c>
      <c r="P836" t="s">
        <v>74</v>
      </c>
      <c r="Q836" t="s">
        <v>74</v>
      </c>
      <c r="R836" t="s">
        <v>74</v>
      </c>
      <c r="S836" t="s">
        <v>74</v>
      </c>
      <c r="T836" t="s">
        <v>11081</v>
      </c>
      <c r="U836" t="s">
        <v>11082</v>
      </c>
      <c r="V836" t="s">
        <v>11083</v>
      </c>
      <c r="W836" t="s">
        <v>11084</v>
      </c>
      <c r="X836" t="s">
        <v>11085</v>
      </c>
      <c r="Y836" t="s">
        <v>11086</v>
      </c>
      <c r="Z836" t="s">
        <v>74</v>
      </c>
      <c r="AA836" t="s">
        <v>74</v>
      </c>
      <c r="AB836" t="s">
        <v>74</v>
      </c>
      <c r="AC836" t="s">
        <v>74</v>
      </c>
      <c r="AD836" t="s">
        <v>74</v>
      </c>
      <c r="AE836" t="s">
        <v>74</v>
      </c>
      <c r="AF836" t="s">
        <v>74</v>
      </c>
      <c r="AG836">
        <v>55</v>
      </c>
      <c r="AH836">
        <v>234</v>
      </c>
      <c r="AI836">
        <v>263</v>
      </c>
      <c r="AJ836">
        <v>2</v>
      </c>
      <c r="AK836">
        <v>74</v>
      </c>
      <c r="AL836" t="s">
        <v>3722</v>
      </c>
      <c r="AM836" t="s">
        <v>1038</v>
      </c>
      <c r="AN836" t="s">
        <v>3723</v>
      </c>
      <c r="AO836" t="s">
        <v>4919</v>
      </c>
      <c r="AP836" t="s">
        <v>11087</v>
      </c>
      <c r="AQ836" t="s">
        <v>74</v>
      </c>
      <c r="AR836" t="s">
        <v>4921</v>
      </c>
      <c r="AS836" t="s">
        <v>4922</v>
      </c>
      <c r="AT836" t="s">
        <v>11076</v>
      </c>
      <c r="AU836">
        <v>1998</v>
      </c>
      <c r="AV836">
        <v>147</v>
      </c>
      <c r="AW836" t="s">
        <v>1282</v>
      </c>
      <c r="AX836" t="s">
        <v>74</v>
      </c>
      <c r="AY836" t="s">
        <v>74</v>
      </c>
      <c r="AZ836" t="s">
        <v>74</v>
      </c>
      <c r="BA836" t="s">
        <v>74</v>
      </c>
      <c r="BB836">
        <v>201</v>
      </c>
      <c r="BC836">
        <v>216</v>
      </c>
      <c r="BD836" t="s">
        <v>74</v>
      </c>
      <c r="BE836" t="s">
        <v>11088</v>
      </c>
      <c r="BF836" t="str">
        <f>HYPERLINK("http://dx.doi.org/10.1016/S0009-2541(98)00013-8","http://dx.doi.org/10.1016/S0009-2541(98)00013-8")</f>
        <v>http://dx.doi.org/10.1016/S0009-2541(98)00013-8</v>
      </c>
      <c r="BG836" t="s">
        <v>74</v>
      </c>
      <c r="BH836" t="s">
        <v>74</v>
      </c>
      <c r="BI836">
        <v>16</v>
      </c>
      <c r="BJ836" t="s">
        <v>303</v>
      </c>
      <c r="BK836" t="s">
        <v>95</v>
      </c>
      <c r="BL836" t="s">
        <v>303</v>
      </c>
      <c r="BM836" t="s">
        <v>11089</v>
      </c>
      <c r="BN836" t="s">
        <v>74</v>
      </c>
      <c r="BO836" t="s">
        <v>74</v>
      </c>
      <c r="BP836" t="s">
        <v>74</v>
      </c>
      <c r="BQ836" t="s">
        <v>74</v>
      </c>
      <c r="BR836" t="s">
        <v>98</v>
      </c>
      <c r="BS836" t="s">
        <v>11090</v>
      </c>
      <c r="BT836" t="str">
        <f>HYPERLINK("https%3A%2F%2Fwww.webofscience.com%2Fwos%2Fwoscc%2Ffull-record%2FWOS:000074588500001","View Full Record in Web of Science")</f>
        <v>View Full Record in Web of Science</v>
      </c>
    </row>
    <row r="837" spans="1:72" x14ac:dyDescent="0.15">
      <c r="A837" t="s">
        <v>72</v>
      </c>
      <c r="B837" t="s">
        <v>11091</v>
      </c>
      <c r="C837" t="s">
        <v>74</v>
      </c>
      <c r="D837" t="s">
        <v>74</v>
      </c>
      <c r="E837" t="s">
        <v>74</v>
      </c>
      <c r="F837" t="s">
        <v>11091</v>
      </c>
      <c r="G837" t="s">
        <v>74</v>
      </c>
      <c r="H837" t="s">
        <v>74</v>
      </c>
      <c r="I837" t="s">
        <v>11092</v>
      </c>
      <c r="J837" t="s">
        <v>4802</v>
      </c>
      <c r="K837" t="s">
        <v>74</v>
      </c>
      <c r="L837" t="s">
        <v>74</v>
      </c>
      <c r="M837" t="s">
        <v>77</v>
      </c>
      <c r="N837" t="s">
        <v>103</v>
      </c>
      <c r="O837" t="s">
        <v>74</v>
      </c>
      <c r="P837" t="s">
        <v>74</v>
      </c>
      <c r="Q837" t="s">
        <v>74</v>
      </c>
      <c r="R837" t="s">
        <v>74</v>
      </c>
      <c r="S837" t="s">
        <v>74</v>
      </c>
      <c r="T837" t="s">
        <v>74</v>
      </c>
      <c r="U837" t="s">
        <v>11093</v>
      </c>
      <c r="V837" t="s">
        <v>11094</v>
      </c>
      <c r="W837" t="s">
        <v>11095</v>
      </c>
      <c r="X837" t="s">
        <v>2448</v>
      </c>
      <c r="Y837" t="s">
        <v>11096</v>
      </c>
      <c r="Z837" t="s">
        <v>11097</v>
      </c>
      <c r="AA837" t="s">
        <v>74</v>
      </c>
      <c r="AB837" t="s">
        <v>11098</v>
      </c>
      <c r="AC837" t="s">
        <v>74</v>
      </c>
      <c r="AD837" t="s">
        <v>74</v>
      </c>
      <c r="AE837" t="s">
        <v>74</v>
      </c>
      <c r="AF837" t="s">
        <v>74</v>
      </c>
      <c r="AG837">
        <v>34</v>
      </c>
      <c r="AH837">
        <v>32</v>
      </c>
      <c r="AI837">
        <v>33</v>
      </c>
      <c r="AJ837">
        <v>0</v>
      </c>
      <c r="AK837">
        <v>0</v>
      </c>
      <c r="AL837" t="s">
        <v>966</v>
      </c>
      <c r="AM837" t="s">
        <v>967</v>
      </c>
      <c r="AN837" t="s">
        <v>968</v>
      </c>
      <c r="AO837" t="s">
        <v>4811</v>
      </c>
      <c r="AP837" t="s">
        <v>74</v>
      </c>
      <c r="AQ837" t="s">
        <v>74</v>
      </c>
      <c r="AR837" t="s">
        <v>4813</v>
      </c>
      <c r="AS837" t="s">
        <v>4814</v>
      </c>
      <c r="AT837" t="s">
        <v>11099</v>
      </c>
      <c r="AU837">
        <v>1998</v>
      </c>
      <c r="AV837">
        <v>103</v>
      </c>
      <c r="AW837" t="s">
        <v>11100</v>
      </c>
      <c r="AX837" t="s">
        <v>74</v>
      </c>
      <c r="AY837" t="s">
        <v>74</v>
      </c>
      <c r="AZ837" t="s">
        <v>74</v>
      </c>
      <c r="BA837" t="s">
        <v>74</v>
      </c>
      <c r="BB837">
        <v>10859</v>
      </c>
      <c r="BC837">
        <v>10873</v>
      </c>
      <c r="BD837" t="s">
        <v>74</v>
      </c>
      <c r="BE837" t="s">
        <v>11101</v>
      </c>
      <c r="BF837" t="str">
        <f>HYPERLINK("http://dx.doi.org/10.1029/98JD00280","http://dx.doi.org/10.1029/98JD00280")</f>
        <v>http://dx.doi.org/10.1029/98JD00280</v>
      </c>
      <c r="BG837" t="s">
        <v>74</v>
      </c>
      <c r="BH837" t="s">
        <v>74</v>
      </c>
      <c r="BI837">
        <v>15</v>
      </c>
      <c r="BJ837" t="s">
        <v>1418</v>
      </c>
      <c r="BK837" t="s">
        <v>95</v>
      </c>
      <c r="BL837" t="s">
        <v>1418</v>
      </c>
      <c r="BM837" t="s">
        <v>11102</v>
      </c>
      <c r="BN837" t="s">
        <v>74</v>
      </c>
      <c r="BO837" t="s">
        <v>1089</v>
      </c>
      <c r="BP837" t="s">
        <v>74</v>
      </c>
      <c r="BQ837" t="s">
        <v>74</v>
      </c>
      <c r="BR837" t="s">
        <v>98</v>
      </c>
      <c r="BS837" t="s">
        <v>11103</v>
      </c>
      <c r="BT837" t="str">
        <f>HYPERLINK("https%3A%2F%2Fwww.webofscience.com%2Fwos%2Fwoscc%2Ffull-record%2FWOS:000073670500020","View Full Record in Web of Science")</f>
        <v>View Full Record in Web of Science</v>
      </c>
    </row>
    <row r="838" spans="1:72" x14ac:dyDescent="0.15">
      <c r="A838" t="s">
        <v>72</v>
      </c>
      <c r="B838" t="s">
        <v>11104</v>
      </c>
      <c r="C838" t="s">
        <v>74</v>
      </c>
      <c r="D838" t="s">
        <v>74</v>
      </c>
      <c r="E838" t="s">
        <v>74</v>
      </c>
      <c r="F838" t="s">
        <v>11104</v>
      </c>
      <c r="G838" t="s">
        <v>74</v>
      </c>
      <c r="H838" t="s">
        <v>74</v>
      </c>
      <c r="I838" t="s">
        <v>11105</v>
      </c>
      <c r="J838" t="s">
        <v>4802</v>
      </c>
      <c r="K838" t="s">
        <v>74</v>
      </c>
      <c r="L838" t="s">
        <v>74</v>
      </c>
      <c r="M838" t="s">
        <v>77</v>
      </c>
      <c r="N838" t="s">
        <v>103</v>
      </c>
      <c r="O838" t="s">
        <v>74</v>
      </c>
      <c r="P838" t="s">
        <v>74</v>
      </c>
      <c r="Q838" t="s">
        <v>74</v>
      </c>
      <c r="R838" t="s">
        <v>74</v>
      </c>
      <c r="S838" t="s">
        <v>74</v>
      </c>
      <c r="T838" t="s">
        <v>74</v>
      </c>
      <c r="U838" t="s">
        <v>11106</v>
      </c>
      <c r="V838" t="s">
        <v>11107</v>
      </c>
      <c r="W838" t="s">
        <v>11108</v>
      </c>
      <c r="X838" t="s">
        <v>11109</v>
      </c>
      <c r="Y838" t="s">
        <v>11110</v>
      </c>
      <c r="Z838" t="s">
        <v>11111</v>
      </c>
      <c r="AA838" t="s">
        <v>11112</v>
      </c>
      <c r="AB838" t="s">
        <v>11113</v>
      </c>
      <c r="AC838" t="s">
        <v>74</v>
      </c>
      <c r="AD838" t="s">
        <v>74</v>
      </c>
      <c r="AE838" t="s">
        <v>74</v>
      </c>
      <c r="AF838" t="s">
        <v>74</v>
      </c>
      <c r="AG838">
        <v>19</v>
      </c>
      <c r="AH838">
        <v>33</v>
      </c>
      <c r="AI838">
        <v>36</v>
      </c>
      <c r="AJ838">
        <v>1</v>
      </c>
      <c r="AK838">
        <v>3</v>
      </c>
      <c r="AL838" t="s">
        <v>966</v>
      </c>
      <c r="AM838" t="s">
        <v>967</v>
      </c>
      <c r="AN838" t="s">
        <v>968</v>
      </c>
      <c r="AO838" t="s">
        <v>4811</v>
      </c>
      <c r="AP838" t="s">
        <v>4812</v>
      </c>
      <c r="AQ838" t="s">
        <v>74</v>
      </c>
      <c r="AR838" t="s">
        <v>4813</v>
      </c>
      <c r="AS838" t="s">
        <v>4814</v>
      </c>
      <c r="AT838" t="s">
        <v>11099</v>
      </c>
      <c r="AU838">
        <v>1998</v>
      </c>
      <c r="AV838">
        <v>103</v>
      </c>
      <c r="AW838" t="s">
        <v>11100</v>
      </c>
      <c r="AX838" t="s">
        <v>74</v>
      </c>
      <c r="AY838" t="s">
        <v>74</v>
      </c>
      <c r="AZ838" t="s">
        <v>74</v>
      </c>
      <c r="BA838" t="s">
        <v>74</v>
      </c>
      <c r="BB838">
        <v>10927</v>
      </c>
      <c r="BC838">
        <v>10934</v>
      </c>
      <c r="BD838" t="s">
        <v>74</v>
      </c>
      <c r="BE838" t="s">
        <v>11114</v>
      </c>
      <c r="BF838" t="str">
        <f>HYPERLINK("http://dx.doi.org/10.1029/97JD03454","http://dx.doi.org/10.1029/97JD03454")</f>
        <v>http://dx.doi.org/10.1029/97JD03454</v>
      </c>
      <c r="BG838" t="s">
        <v>74</v>
      </c>
      <c r="BH838" t="s">
        <v>74</v>
      </c>
      <c r="BI838">
        <v>8</v>
      </c>
      <c r="BJ838" t="s">
        <v>1418</v>
      </c>
      <c r="BK838" t="s">
        <v>95</v>
      </c>
      <c r="BL838" t="s">
        <v>1418</v>
      </c>
      <c r="BM838" t="s">
        <v>11102</v>
      </c>
      <c r="BN838" t="s">
        <v>74</v>
      </c>
      <c r="BO838" t="s">
        <v>1938</v>
      </c>
      <c r="BP838" t="s">
        <v>74</v>
      </c>
      <c r="BQ838" t="s">
        <v>74</v>
      </c>
      <c r="BR838" t="s">
        <v>98</v>
      </c>
      <c r="BS838" t="s">
        <v>11115</v>
      </c>
      <c r="BT838" t="str">
        <f>HYPERLINK("https%3A%2F%2Fwww.webofscience.com%2Fwos%2Fwoscc%2Ffull-record%2FWOS:000073670500025","View Full Record in Web of Science")</f>
        <v>View Full Record in Web of Science</v>
      </c>
    </row>
    <row r="839" spans="1:72" x14ac:dyDescent="0.15">
      <c r="A839" t="s">
        <v>72</v>
      </c>
      <c r="B839" t="s">
        <v>11116</v>
      </c>
      <c r="C839" t="s">
        <v>74</v>
      </c>
      <c r="D839" t="s">
        <v>74</v>
      </c>
      <c r="E839" t="s">
        <v>74</v>
      </c>
      <c r="F839" t="s">
        <v>11116</v>
      </c>
      <c r="G839" t="s">
        <v>74</v>
      </c>
      <c r="H839" t="s">
        <v>74</v>
      </c>
      <c r="I839" t="s">
        <v>11117</v>
      </c>
      <c r="J839" t="s">
        <v>4802</v>
      </c>
      <c r="K839" t="s">
        <v>74</v>
      </c>
      <c r="L839" t="s">
        <v>74</v>
      </c>
      <c r="M839" t="s">
        <v>77</v>
      </c>
      <c r="N839" t="s">
        <v>103</v>
      </c>
      <c r="O839" t="s">
        <v>74</v>
      </c>
      <c r="P839" t="s">
        <v>74</v>
      </c>
      <c r="Q839" t="s">
        <v>74</v>
      </c>
      <c r="R839" t="s">
        <v>74</v>
      </c>
      <c r="S839" t="s">
        <v>74</v>
      </c>
      <c r="T839" t="s">
        <v>74</v>
      </c>
      <c r="U839" t="s">
        <v>11118</v>
      </c>
      <c r="V839" t="s">
        <v>11119</v>
      </c>
      <c r="W839" t="s">
        <v>11120</v>
      </c>
      <c r="X839" t="s">
        <v>11121</v>
      </c>
      <c r="Y839" t="s">
        <v>11122</v>
      </c>
      <c r="Z839" t="s">
        <v>11123</v>
      </c>
      <c r="AA839" t="s">
        <v>11124</v>
      </c>
      <c r="AB839" t="s">
        <v>11125</v>
      </c>
      <c r="AC839" t="s">
        <v>74</v>
      </c>
      <c r="AD839" t="s">
        <v>74</v>
      </c>
      <c r="AE839" t="s">
        <v>74</v>
      </c>
      <c r="AF839" t="s">
        <v>74</v>
      </c>
      <c r="AG839">
        <v>16</v>
      </c>
      <c r="AH839">
        <v>110</v>
      </c>
      <c r="AI839">
        <v>115</v>
      </c>
      <c r="AJ839">
        <v>0</v>
      </c>
      <c r="AK839">
        <v>6</v>
      </c>
      <c r="AL839" t="s">
        <v>966</v>
      </c>
      <c r="AM839" t="s">
        <v>967</v>
      </c>
      <c r="AN839" t="s">
        <v>968</v>
      </c>
      <c r="AO839" t="s">
        <v>4811</v>
      </c>
      <c r="AP839" t="s">
        <v>4812</v>
      </c>
      <c r="AQ839" t="s">
        <v>74</v>
      </c>
      <c r="AR839" t="s">
        <v>4813</v>
      </c>
      <c r="AS839" t="s">
        <v>4814</v>
      </c>
      <c r="AT839" t="s">
        <v>11099</v>
      </c>
      <c r="AU839">
        <v>1998</v>
      </c>
      <c r="AV839">
        <v>103</v>
      </c>
      <c r="AW839" t="s">
        <v>11100</v>
      </c>
      <c r="AX839" t="s">
        <v>74</v>
      </c>
      <c r="AY839" t="s">
        <v>74</v>
      </c>
      <c r="AZ839" t="s">
        <v>74</v>
      </c>
      <c r="BA839" t="s">
        <v>74</v>
      </c>
      <c r="BB839">
        <v>10935</v>
      </c>
      <c r="BC839">
        <v>10946</v>
      </c>
      <c r="BD839" t="s">
        <v>74</v>
      </c>
      <c r="BE839" t="s">
        <v>11126</v>
      </c>
      <c r="BF839" t="str">
        <f>HYPERLINK("http://dx.doi.org/10.1029/97JD00527","http://dx.doi.org/10.1029/97JD00527")</f>
        <v>http://dx.doi.org/10.1029/97JD00527</v>
      </c>
      <c r="BG839" t="s">
        <v>74</v>
      </c>
      <c r="BH839" t="s">
        <v>74</v>
      </c>
      <c r="BI839">
        <v>12</v>
      </c>
      <c r="BJ839" t="s">
        <v>1418</v>
      </c>
      <c r="BK839" t="s">
        <v>95</v>
      </c>
      <c r="BL839" t="s">
        <v>1418</v>
      </c>
      <c r="BM839" t="s">
        <v>11102</v>
      </c>
      <c r="BN839" t="s">
        <v>74</v>
      </c>
      <c r="BO839" t="s">
        <v>1089</v>
      </c>
      <c r="BP839" t="s">
        <v>74</v>
      </c>
      <c r="BQ839" t="s">
        <v>74</v>
      </c>
      <c r="BR839" t="s">
        <v>98</v>
      </c>
      <c r="BS839" t="s">
        <v>11127</v>
      </c>
      <c r="BT839" t="str">
        <f>HYPERLINK("https%3A%2F%2Fwww.webofscience.com%2Fwos%2Fwoscc%2Ffull-record%2FWOS:000073670500026","View Full Record in Web of Science")</f>
        <v>View Full Record in Web of Science</v>
      </c>
    </row>
    <row r="840" spans="1:72" x14ac:dyDescent="0.15">
      <c r="A840" t="s">
        <v>72</v>
      </c>
      <c r="B840" t="s">
        <v>11128</v>
      </c>
      <c r="C840" t="s">
        <v>74</v>
      </c>
      <c r="D840" t="s">
        <v>74</v>
      </c>
      <c r="E840" t="s">
        <v>74</v>
      </c>
      <c r="F840" t="s">
        <v>11128</v>
      </c>
      <c r="G840" t="s">
        <v>74</v>
      </c>
      <c r="H840" t="s">
        <v>74</v>
      </c>
      <c r="I840" t="s">
        <v>11129</v>
      </c>
      <c r="J840" t="s">
        <v>4802</v>
      </c>
      <c r="K840" t="s">
        <v>74</v>
      </c>
      <c r="L840" t="s">
        <v>74</v>
      </c>
      <c r="M840" t="s">
        <v>77</v>
      </c>
      <c r="N840" t="s">
        <v>103</v>
      </c>
      <c r="O840" t="s">
        <v>74</v>
      </c>
      <c r="P840" t="s">
        <v>74</v>
      </c>
      <c r="Q840" t="s">
        <v>74</v>
      </c>
      <c r="R840" t="s">
        <v>74</v>
      </c>
      <c r="S840" t="s">
        <v>74</v>
      </c>
      <c r="T840" t="s">
        <v>74</v>
      </c>
      <c r="U840" t="s">
        <v>11130</v>
      </c>
      <c r="V840" t="s">
        <v>11131</v>
      </c>
      <c r="W840" t="s">
        <v>11132</v>
      </c>
      <c r="X840" t="s">
        <v>11133</v>
      </c>
      <c r="Y840" t="s">
        <v>11134</v>
      </c>
      <c r="Z840" t="s">
        <v>11135</v>
      </c>
      <c r="AA840" t="s">
        <v>11136</v>
      </c>
      <c r="AB840" t="s">
        <v>11137</v>
      </c>
      <c r="AC840" t="s">
        <v>74</v>
      </c>
      <c r="AD840" t="s">
        <v>74</v>
      </c>
      <c r="AE840" t="s">
        <v>74</v>
      </c>
      <c r="AF840" t="s">
        <v>74</v>
      </c>
      <c r="AG840">
        <v>23</v>
      </c>
      <c r="AH840">
        <v>61</v>
      </c>
      <c r="AI840">
        <v>65</v>
      </c>
      <c r="AJ840">
        <v>0</v>
      </c>
      <c r="AK840">
        <v>4</v>
      </c>
      <c r="AL840" t="s">
        <v>966</v>
      </c>
      <c r="AM840" t="s">
        <v>967</v>
      </c>
      <c r="AN840" t="s">
        <v>968</v>
      </c>
      <c r="AO840" t="s">
        <v>4811</v>
      </c>
      <c r="AP840" t="s">
        <v>4812</v>
      </c>
      <c r="AQ840" t="s">
        <v>74</v>
      </c>
      <c r="AR840" t="s">
        <v>4813</v>
      </c>
      <c r="AS840" t="s">
        <v>4814</v>
      </c>
      <c r="AT840" t="s">
        <v>11099</v>
      </c>
      <c r="AU840">
        <v>1998</v>
      </c>
      <c r="AV840">
        <v>103</v>
      </c>
      <c r="AW840" t="s">
        <v>11100</v>
      </c>
      <c r="AX840" t="s">
        <v>74</v>
      </c>
      <c r="AY840" t="s">
        <v>74</v>
      </c>
      <c r="AZ840" t="s">
        <v>74</v>
      </c>
      <c r="BA840" t="s">
        <v>74</v>
      </c>
      <c r="BB840">
        <v>10947</v>
      </c>
      <c r="BC840">
        <v>10959</v>
      </c>
      <c r="BD840" t="s">
        <v>74</v>
      </c>
      <c r="BE840" t="s">
        <v>11138</v>
      </c>
      <c r="BF840" t="str">
        <f>HYPERLINK("http://dx.doi.org/10.1029/97JD00768","http://dx.doi.org/10.1029/97JD00768")</f>
        <v>http://dx.doi.org/10.1029/97JD00768</v>
      </c>
      <c r="BG840" t="s">
        <v>74</v>
      </c>
      <c r="BH840" t="s">
        <v>74</v>
      </c>
      <c r="BI840">
        <v>13</v>
      </c>
      <c r="BJ840" t="s">
        <v>1418</v>
      </c>
      <c r="BK840" t="s">
        <v>95</v>
      </c>
      <c r="BL840" t="s">
        <v>1418</v>
      </c>
      <c r="BM840" t="s">
        <v>11102</v>
      </c>
      <c r="BN840" t="s">
        <v>74</v>
      </c>
      <c r="BO840" t="s">
        <v>1089</v>
      </c>
      <c r="BP840" t="s">
        <v>74</v>
      </c>
      <c r="BQ840" t="s">
        <v>74</v>
      </c>
      <c r="BR840" t="s">
        <v>98</v>
      </c>
      <c r="BS840" t="s">
        <v>11139</v>
      </c>
      <c r="BT840" t="str">
        <f>HYPERLINK("https%3A%2F%2Fwww.webofscience.com%2Fwos%2Fwoscc%2Ffull-record%2FWOS:000073670500027","View Full Record in Web of Science")</f>
        <v>View Full Record in Web of Science</v>
      </c>
    </row>
    <row r="841" spans="1:72" x14ac:dyDescent="0.15">
      <c r="A841" t="s">
        <v>72</v>
      </c>
      <c r="B841" t="s">
        <v>11140</v>
      </c>
      <c r="C841" t="s">
        <v>74</v>
      </c>
      <c r="D841" t="s">
        <v>74</v>
      </c>
      <c r="E841" t="s">
        <v>74</v>
      </c>
      <c r="F841" t="s">
        <v>11140</v>
      </c>
      <c r="G841" t="s">
        <v>74</v>
      </c>
      <c r="H841" t="s">
        <v>74</v>
      </c>
      <c r="I841" t="s">
        <v>11141</v>
      </c>
      <c r="J841" t="s">
        <v>4802</v>
      </c>
      <c r="K841" t="s">
        <v>74</v>
      </c>
      <c r="L841" t="s">
        <v>74</v>
      </c>
      <c r="M841" t="s">
        <v>77</v>
      </c>
      <c r="N841" t="s">
        <v>103</v>
      </c>
      <c r="O841" t="s">
        <v>74</v>
      </c>
      <c r="P841" t="s">
        <v>74</v>
      </c>
      <c r="Q841" t="s">
        <v>74</v>
      </c>
      <c r="R841" t="s">
        <v>74</v>
      </c>
      <c r="S841" t="s">
        <v>74</v>
      </c>
      <c r="T841" t="s">
        <v>74</v>
      </c>
      <c r="U841" t="s">
        <v>11142</v>
      </c>
      <c r="V841" t="s">
        <v>11143</v>
      </c>
      <c r="W841" t="s">
        <v>11144</v>
      </c>
      <c r="X841" t="s">
        <v>11145</v>
      </c>
      <c r="Y841" t="s">
        <v>11146</v>
      </c>
      <c r="Z841" t="s">
        <v>11147</v>
      </c>
      <c r="AA841" t="s">
        <v>11148</v>
      </c>
      <c r="AB841" t="s">
        <v>11149</v>
      </c>
      <c r="AC841" t="s">
        <v>74</v>
      </c>
      <c r="AD841" t="s">
        <v>74</v>
      </c>
      <c r="AE841" t="s">
        <v>74</v>
      </c>
      <c r="AF841" t="s">
        <v>74</v>
      </c>
      <c r="AG841">
        <v>43</v>
      </c>
      <c r="AH841">
        <v>265</v>
      </c>
      <c r="AI841">
        <v>283</v>
      </c>
      <c r="AJ841">
        <v>1</v>
      </c>
      <c r="AK841">
        <v>45</v>
      </c>
      <c r="AL841" t="s">
        <v>966</v>
      </c>
      <c r="AM841" t="s">
        <v>967</v>
      </c>
      <c r="AN841" t="s">
        <v>968</v>
      </c>
      <c r="AO841" t="s">
        <v>4811</v>
      </c>
      <c r="AP841" t="s">
        <v>4812</v>
      </c>
      <c r="AQ841" t="s">
        <v>74</v>
      </c>
      <c r="AR841" t="s">
        <v>4813</v>
      </c>
      <c r="AS841" t="s">
        <v>4814</v>
      </c>
      <c r="AT841" t="s">
        <v>11099</v>
      </c>
      <c r="AU841">
        <v>1998</v>
      </c>
      <c r="AV841">
        <v>103</v>
      </c>
      <c r="AW841" t="s">
        <v>11100</v>
      </c>
      <c r="AX841" t="s">
        <v>74</v>
      </c>
      <c r="AY841" t="s">
        <v>74</v>
      </c>
      <c r="AZ841" t="s">
        <v>74</v>
      </c>
      <c r="BA841" t="s">
        <v>74</v>
      </c>
      <c r="BB841">
        <v>10961</v>
      </c>
      <c r="BC841">
        <v>10974</v>
      </c>
      <c r="BD841" t="s">
        <v>74</v>
      </c>
      <c r="BE841" t="s">
        <v>11150</v>
      </c>
      <c r="BF841" t="str">
        <f>HYPERLINK("http://dx.doi.org/10.1029/97JD01804","http://dx.doi.org/10.1029/97JD01804")</f>
        <v>http://dx.doi.org/10.1029/97JD01804</v>
      </c>
      <c r="BG841" t="s">
        <v>74</v>
      </c>
      <c r="BH841" t="s">
        <v>74</v>
      </c>
      <c r="BI841">
        <v>14</v>
      </c>
      <c r="BJ841" t="s">
        <v>1418</v>
      </c>
      <c r="BK841" t="s">
        <v>95</v>
      </c>
      <c r="BL841" t="s">
        <v>1418</v>
      </c>
      <c r="BM841" t="s">
        <v>11102</v>
      </c>
      <c r="BN841" t="s">
        <v>74</v>
      </c>
      <c r="BO841" t="s">
        <v>1938</v>
      </c>
      <c r="BP841" t="s">
        <v>74</v>
      </c>
      <c r="BQ841" t="s">
        <v>74</v>
      </c>
      <c r="BR841" t="s">
        <v>98</v>
      </c>
      <c r="BS841" t="s">
        <v>11151</v>
      </c>
      <c r="BT841" t="str">
        <f>HYPERLINK("https%3A%2F%2Fwww.webofscience.com%2Fwos%2Fwoscc%2Ffull-record%2FWOS:000073670500028","View Full Record in Web of Science")</f>
        <v>View Full Record in Web of Science</v>
      </c>
    </row>
    <row r="842" spans="1:72" x14ac:dyDescent="0.15">
      <c r="A842" t="s">
        <v>72</v>
      </c>
      <c r="B842" t="s">
        <v>11152</v>
      </c>
      <c r="C842" t="s">
        <v>74</v>
      </c>
      <c r="D842" t="s">
        <v>74</v>
      </c>
      <c r="E842" t="s">
        <v>74</v>
      </c>
      <c r="F842" t="s">
        <v>11152</v>
      </c>
      <c r="G842" t="s">
        <v>74</v>
      </c>
      <c r="H842" t="s">
        <v>74</v>
      </c>
      <c r="I842" t="s">
        <v>11153</v>
      </c>
      <c r="J842" t="s">
        <v>4802</v>
      </c>
      <c r="K842" t="s">
        <v>74</v>
      </c>
      <c r="L842" t="s">
        <v>74</v>
      </c>
      <c r="M842" t="s">
        <v>77</v>
      </c>
      <c r="N842" t="s">
        <v>103</v>
      </c>
      <c r="O842" t="s">
        <v>74</v>
      </c>
      <c r="P842" t="s">
        <v>74</v>
      </c>
      <c r="Q842" t="s">
        <v>74</v>
      </c>
      <c r="R842" t="s">
        <v>74</v>
      </c>
      <c r="S842" t="s">
        <v>74</v>
      </c>
      <c r="T842" t="s">
        <v>74</v>
      </c>
      <c r="U842" t="s">
        <v>11154</v>
      </c>
      <c r="V842" t="s">
        <v>11155</v>
      </c>
      <c r="W842" t="s">
        <v>11156</v>
      </c>
      <c r="X842" t="s">
        <v>11157</v>
      </c>
      <c r="Y842" t="s">
        <v>11146</v>
      </c>
      <c r="Z842" t="s">
        <v>11158</v>
      </c>
      <c r="AA842" t="s">
        <v>11159</v>
      </c>
      <c r="AB842" t="s">
        <v>11160</v>
      </c>
      <c r="AC842" t="s">
        <v>74</v>
      </c>
      <c r="AD842" t="s">
        <v>74</v>
      </c>
      <c r="AE842" t="s">
        <v>74</v>
      </c>
      <c r="AF842" t="s">
        <v>74</v>
      </c>
      <c r="AG842">
        <v>51</v>
      </c>
      <c r="AH842">
        <v>181</v>
      </c>
      <c r="AI842">
        <v>198</v>
      </c>
      <c r="AJ842">
        <v>2</v>
      </c>
      <c r="AK842">
        <v>29</v>
      </c>
      <c r="AL842" t="s">
        <v>966</v>
      </c>
      <c r="AM842" t="s">
        <v>967</v>
      </c>
      <c r="AN842" t="s">
        <v>968</v>
      </c>
      <c r="AO842" t="s">
        <v>4811</v>
      </c>
      <c r="AP842" t="s">
        <v>4812</v>
      </c>
      <c r="AQ842" t="s">
        <v>74</v>
      </c>
      <c r="AR842" t="s">
        <v>4813</v>
      </c>
      <c r="AS842" t="s">
        <v>4814</v>
      </c>
      <c r="AT842" t="s">
        <v>11099</v>
      </c>
      <c r="AU842">
        <v>1998</v>
      </c>
      <c r="AV842">
        <v>103</v>
      </c>
      <c r="AW842" t="s">
        <v>11100</v>
      </c>
      <c r="AX842" t="s">
        <v>74</v>
      </c>
      <c r="AY842" t="s">
        <v>74</v>
      </c>
      <c r="AZ842" t="s">
        <v>74</v>
      </c>
      <c r="BA842" t="s">
        <v>74</v>
      </c>
      <c r="BB842">
        <v>10975</v>
      </c>
      <c r="BC842">
        <v>10990</v>
      </c>
      <c r="BD842" t="s">
        <v>74</v>
      </c>
      <c r="BE842" t="s">
        <v>11161</v>
      </c>
      <c r="BF842" t="str">
        <f>HYPERLINK("http://dx.doi.org/10.1029/98JD00249","http://dx.doi.org/10.1029/98JD00249")</f>
        <v>http://dx.doi.org/10.1029/98JD00249</v>
      </c>
      <c r="BG842" t="s">
        <v>74</v>
      </c>
      <c r="BH842" t="s">
        <v>74</v>
      </c>
      <c r="BI842">
        <v>16</v>
      </c>
      <c r="BJ842" t="s">
        <v>1418</v>
      </c>
      <c r="BK842" t="s">
        <v>95</v>
      </c>
      <c r="BL842" t="s">
        <v>1418</v>
      </c>
      <c r="BM842" t="s">
        <v>11102</v>
      </c>
      <c r="BN842" t="s">
        <v>74</v>
      </c>
      <c r="BO842" t="s">
        <v>74</v>
      </c>
      <c r="BP842" t="s">
        <v>74</v>
      </c>
      <c r="BQ842" t="s">
        <v>74</v>
      </c>
      <c r="BR842" t="s">
        <v>98</v>
      </c>
      <c r="BS842" t="s">
        <v>11162</v>
      </c>
      <c r="BT842" t="str">
        <f>HYPERLINK("https%3A%2F%2Fwww.webofscience.com%2Fwos%2Fwoscc%2Ffull-record%2FWOS:000073670500029","View Full Record in Web of Science")</f>
        <v>View Full Record in Web of Science</v>
      </c>
    </row>
    <row r="843" spans="1:72" x14ac:dyDescent="0.15">
      <c r="A843" t="s">
        <v>72</v>
      </c>
      <c r="B843" t="s">
        <v>11163</v>
      </c>
      <c r="C843" t="s">
        <v>74</v>
      </c>
      <c r="D843" t="s">
        <v>74</v>
      </c>
      <c r="E843" t="s">
        <v>74</v>
      </c>
      <c r="F843" t="s">
        <v>11163</v>
      </c>
      <c r="G843" t="s">
        <v>74</v>
      </c>
      <c r="H843" t="s">
        <v>74</v>
      </c>
      <c r="I843" t="s">
        <v>11164</v>
      </c>
      <c r="J843" t="s">
        <v>4802</v>
      </c>
      <c r="K843" t="s">
        <v>74</v>
      </c>
      <c r="L843" t="s">
        <v>74</v>
      </c>
      <c r="M843" t="s">
        <v>77</v>
      </c>
      <c r="N843" t="s">
        <v>103</v>
      </c>
      <c r="O843" t="s">
        <v>74</v>
      </c>
      <c r="P843" t="s">
        <v>74</v>
      </c>
      <c r="Q843" t="s">
        <v>74</v>
      </c>
      <c r="R843" t="s">
        <v>74</v>
      </c>
      <c r="S843" t="s">
        <v>74</v>
      </c>
      <c r="T843" t="s">
        <v>74</v>
      </c>
      <c r="U843" t="s">
        <v>11165</v>
      </c>
      <c r="V843" t="s">
        <v>11166</v>
      </c>
      <c r="W843" t="s">
        <v>11167</v>
      </c>
      <c r="X843" t="s">
        <v>11168</v>
      </c>
      <c r="Y843" t="s">
        <v>11169</v>
      </c>
      <c r="Z843" t="s">
        <v>11170</v>
      </c>
      <c r="AA843" t="s">
        <v>11171</v>
      </c>
      <c r="AB843" t="s">
        <v>74</v>
      </c>
      <c r="AC843" t="s">
        <v>74</v>
      </c>
      <c r="AD843" t="s">
        <v>74</v>
      </c>
      <c r="AE843" t="s">
        <v>74</v>
      </c>
      <c r="AF843" t="s">
        <v>74</v>
      </c>
      <c r="AG843">
        <v>30</v>
      </c>
      <c r="AH843">
        <v>85</v>
      </c>
      <c r="AI843">
        <v>89</v>
      </c>
      <c r="AJ843">
        <v>1</v>
      </c>
      <c r="AK843">
        <v>15</v>
      </c>
      <c r="AL843" t="s">
        <v>966</v>
      </c>
      <c r="AM843" t="s">
        <v>967</v>
      </c>
      <c r="AN843" t="s">
        <v>968</v>
      </c>
      <c r="AO843" t="s">
        <v>4811</v>
      </c>
      <c r="AP843" t="s">
        <v>74</v>
      </c>
      <c r="AQ843" t="s">
        <v>74</v>
      </c>
      <c r="AR843" t="s">
        <v>4813</v>
      </c>
      <c r="AS843" t="s">
        <v>4814</v>
      </c>
      <c r="AT843" t="s">
        <v>11099</v>
      </c>
      <c r="AU843">
        <v>1998</v>
      </c>
      <c r="AV843">
        <v>103</v>
      </c>
      <c r="AW843" t="s">
        <v>11100</v>
      </c>
      <c r="AX843" t="s">
        <v>74</v>
      </c>
      <c r="AY843" t="s">
        <v>74</v>
      </c>
      <c r="AZ843" t="s">
        <v>74</v>
      </c>
      <c r="BA843" t="s">
        <v>74</v>
      </c>
      <c r="BB843">
        <v>10991</v>
      </c>
      <c r="BC843">
        <v>11006</v>
      </c>
      <c r="BD843" t="s">
        <v>74</v>
      </c>
      <c r="BE843" t="s">
        <v>11172</v>
      </c>
      <c r="BF843" t="str">
        <f>HYPERLINK("http://dx.doi.org/10.1029/98JD00929","http://dx.doi.org/10.1029/98JD00929")</f>
        <v>http://dx.doi.org/10.1029/98JD00929</v>
      </c>
      <c r="BG843" t="s">
        <v>74</v>
      </c>
      <c r="BH843" t="s">
        <v>74</v>
      </c>
      <c r="BI843">
        <v>16</v>
      </c>
      <c r="BJ843" t="s">
        <v>1418</v>
      </c>
      <c r="BK843" t="s">
        <v>95</v>
      </c>
      <c r="BL843" t="s">
        <v>1418</v>
      </c>
      <c r="BM843" t="s">
        <v>11102</v>
      </c>
      <c r="BN843" t="s">
        <v>74</v>
      </c>
      <c r="BO843" t="s">
        <v>1089</v>
      </c>
      <c r="BP843" t="s">
        <v>74</v>
      </c>
      <c r="BQ843" t="s">
        <v>74</v>
      </c>
      <c r="BR843" t="s">
        <v>98</v>
      </c>
      <c r="BS843" t="s">
        <v>11173</v>
      </c>
      <c r="BT843" t="str">
        <f>HYPERLINK("https%3A%2F%2Fwww.webofscience.com%2Fwos%2Fwoscc%2Ffull-record%2FWOS:000073670500030","View Full Record in Web of Science")</f>
        <v>View Full Record in Web of Science</v>
      </c>
    </row>
    <row r="844" spans="1:72" x14ac:dyDescent="0.15">
      <c r="A844" t="s">
        <v>72</v>
      </c>
      <c r="B844" t="s">
        <v>11174</v>
      </c>
      <c r="C844" t="s">
        <v>74</v>
      </c>
      <c r="D844" t="s">
        <v>74</v>
      </c>
      <c r="E844" t="s">
        <v>74</v>
      </c>
      <c r="F844" t="s">
        <v>11174</v>
      </c>
      <c r="G844" t="s">
        <v>74</v>
      </c>
      <c r="H844" t="s">
        <v>74</v>
      </c>
      <c r="I844" t="s">
        <v>11175</v>
      </c>
      <c r="J844" t="s">
        <v>4802</v>
      </c>
      <c r="K844" t="s">
        <v>74</v>
      </c>
      <c r="L844" t="s">
        <v>74</v>
      </c>
      <c r="M844" t="s">
        <v>77</v>
      </c>
      <c r="N844" t="s">
        <v>103</v>
      </c>
      <c r="O844" t="s">
        <v>74</v>
      </c>
      <c r="P844" t="s">
        <v>74</v>
      </c>
      <c r="Q844" t="s">
        <v>74</v>
      </c>
      <c r="R844" t="s">
        <v>74</v>
      </c>
      <c r="S844" t="s">
        <v>74</v>
      </c>
      <c r="T844" t="s">
        <v>74</v>
      </c>
      <c r="U844" t="s">
        <v>11176</v>
      </c>
      <c r="V844" t="s">
        <v>11177</v>
      </c>
      <c r="W844" t="s">
        <v>11178</v>
      </c>
      <c r="X844" t="s">
        <v>11179</v>
      </c>
      <c r="Y844" t="s">
        <v>10048</v>
      </c>
      <c r="Z844" t="s">
        <v>11180</v>
      </c>
      <c r="AA844" t="s">
        <v>11181</v>
      </c>
      <c r="AB844" t="s">
        <v>11182</v>
      </c>
      <c r="AC844" t="s">
        <v>74</v>
      </c>
      <c r="AD844" t="s">
        <v>74</v>
      </c>
      <c r="AE844" t="s">
        <v>74</v>
      </c>
      <c r="AF844" t="s">
        <v>74</v>
      </c>
      <c r="AG844">
        <v>65</v>
      </c>
      <c r="AH844">
        <v>57</v>
      </c>
      <c r="AI844">
        <v>64</v>
      </c>
      <c r="AJ844">
        <v>3</v>
      </c>
      <c r="AK844">
        <v>15</v>
      </c>
      <c r="AL844" t="s">
        <v>966</v>
      </c>
      <c r="AM844" t="s">
        <v>967</v>
      </c>
      <c r="AN844" t="s">
        <v>968</v>
      </c>
      <c r="AO844" t="s">
        <v>4811</v>
      </c>
      <c r="AP844" t="s">
        <v>4812</v>
      </c>
      <c r="AQ844" t="s">
        <v>74</v>
      </c>
      <c r="AR844" t="s">
        <v>4813</v>
      </c>
      <c r="AS844" t="s">
        <v>4814</v>
      </c>
      <c r="AT844" t="s">
        <v>11099</v>
      </c>
      <c r="AU844">
        <v>1998</v>
      </c>
      <c r="AV844">
        <v>103</v>
      </c>
      <c r="AW844" t="s">
        <v>11100</v>
      </c>
      <c r="AX844" t="s">
        <v>74</v>
      </c>
      <c r="AY844" t="s">
        <v>74</v>
      </c>
      <c r="AZ844" t="s">
        <v>74</v>
      </c>
      <c r="BA844" t="s">
        <v>74</v>
      </c>
      <c r="BB844">
        <v>11007</v>
      </c>
      <c r="BC844">
        <v>11020</v>
      </c>
      <c r="BD844" t="s">
        <v>74</v>
      </c>
      <c r="BE844" t="s">
        <v>11183</v>
      </c>
      <c r="BF844" t="str">
        <f>HYPERLINK("http://dx.doi.org/10.1029/97JD03364","http://dx.doi.org/10.1029/97JD03364")</f>
        <v>http://dx.doi.org/10.1029/97JD03364</v>
      </c>
      <c r="BG844" t="s">
        <v>74</v>
      </c>
      <c r="BH844" t="s">
        <v>74</v>
      </c>
      <c r="BI844">
        <v>14</v>
      </c>
      <c r="BJ844" t="s">
        <v>1418</v>
      </c>
      <c r="BK844" t="s">
        <v>95</v>
      </c>
      <c r="BL844" t="s">
        <v>1418</v>
      </c>
      <c r="BM844" t="s">
        <v>11102</v>
      </c>
      <c r="BN844" t="s">
        <v>74</v>
      </c>
      <c r="BO844" t="s">
        <v>11184</v>
      </c>
      <c r="BP844" t="s">
        <v>74</v>
      </c>
      <c r="BQ844" t="s">
        <v>74</v>
      </c>
      <c r="BR844" t="s">
        <v>98</v>
      </c>
      <c r="BS844" t="s">
        <v>11185</v>
      </c>
      <c r="BT844" t="str">
        <f>HYPERLINK("https%3A%2F%2Fwww.webofscience.com%2Fwos%2Fwoscc%2Ffull-record%2FWOS:000073670500031","View Full Record in Web of Science")</f>
        <v>View Full Record in Web of Science</v>
      </c>
    </row>
    <row r="845" spans="1:72" x14ac:dyDescent="0.15">
      <c r="A845" t="s">
        <v>72</v>
      </c>
      <c r="B845" t="s">
        <v>11186</v>
      </c>
      <c r="C845" t="s">
        <v>74</v>
      </c>
      <c r="D845" t="s">
        <v>74</v>
      </c>
      <c r="E845" t="s">
        <v>74</v>
      </c>
      <c r="F845" t="s">
        <v>11186</v>
      </c>
      <c r="G845" t="s">
        <v>74</v>
      </c>
      <c r="H845" t="s">
        <v>74</v>
      </c>
      <c r="I845" t="s">
        <v>11187</v>
      </c>
      <c r="J845" t="s">
        <v>4802</v>
      </c>
      <c r="K845" t="s">
        <v>74</v>
      </c>
      <c r="L845" t="s">
        <v>74</v>
      </c>
      <c r="M845" t="s">
        <v>77</v>
      </c>
      <c r="N845" t="s">
        <v>103</v>
      </c>
      <c r="O845" t="s">
        <v>74</v>
      </c>
      <c r="P845" t="s">
        <v>74</v>
      </c>
      <c r="Q845" t="s">
        <v>74</v>
      </c>
      <c r="R845" t="s">
        <v>74</v>
      </c>
      <c r="S845" t="s">
        <v>74</v>
      </c>
      <c r="T845" t="s">
        <v>74</v>
      </c>
      <c r="U845" t="s">
        <v>11188</v>
      </c>
      <c r="V845" t="s">
        <v>11189</v>
      </c>
      <c r="W845" t="s">
        <v>11190</v>
      </c>
      <c r="X845" t="s">
        <v>11191</v>
      </c>
      <c r="Y845" t="s">
        <v>11192</v>
      </c>
      <c r="Z845" t="s">
        <v>11193</v>
      </c>
      <c r="AA845" t="s">
        <v>11194</v>
      </c>
      <c r="AB845" t="s">
        <v>11195</v>
      </c>
      <c r="AC845" t="s">
        <v>74</v>
      </c>
      <c r="AD845" t="s">
        <v>74</v>
      </c>
      <c r="AE845" t="s">
        <v>74</v>
      </c>
      <c r="AF845" t="s">
        <v>74</v>
      </c>
      <c r="AG845">
        <v>36</v>
      </c>
      <c r="AH845">
        <v>65</v>
      </c>
      <c r="AI845">
        <v>76</v>
      </c>
      <c r="AJ845">
        <v>0</v>
      </c>
      <c r="AK845">
        <v>12</v>
      </c>
      <c r="AL845" t="s">
        <v>966</v>
      </c>
      <c r="AM845" t="s">
        <v>967</v>
      </c>
      <c r="AN845" t="s">
        <v>968</v>
      </c>
      <c r="AO845" t="s">
        <v>4811</v>
      </c>
      <c r="AP845" t="s">
        <v>4812</v>
      </c>
      <c r="AQ845" t="s">
        <v>74</v>
      </c>
      <c r="AR845" t="s">
        <v>4813</v>
      </c>
      <c r="AS845" t="s">
        <v>4814</v>
      </c>
      <c r="AT845" t="s">
        <v>11099</v>
      </c>
      <c r="AU845">
        <v>1998</v>
      </c>
      <c r="AV845">
        <v>103</v>
      </c>
      <c r="AW845" t="s">
        <v>11100</v>
      </c>
      <c r="AX845" t="s">
        <v>74</v>
      </c>
      <c r="AY845" t="s">
        <v>74</v>
      </c>
      <c r="AZ845" t="s">
        <v>74</v>
      </c>
      <c r="BA845" t="s">
        <v>74</v>
      </c>
      <c r="BB845">
        <v>11021</v>
      </c>
      <c r="BC845">
        <v>11031</v>
      </c>
      <c r="BD845" t="s">
        <v>74</v>
      </c>
      <c r="BE845" t="s">
        <v>11196</v>
      </c>
      <c r="BF845" t="str">
        <f>HYPERLINK("http://dx.doi.org/10.1029/97JD03624","http://dx.doi.org/10.1029/97JD03624")</f>
        <v>http://dx.doi.org/10.1029/97JD03624</v>
      </c>
      <c r="BG845" t="s">
        <v>74</v>
      </c>
      <c r="BH845" t="s">
        <v>74</v>
      </c>
      <c r="BI845">
        <v>11</v>
      </c>
      <c r="BJ845" t="s">
        <v>1418</v>
      </c>
      <c r="BK845" t="s">
        <v>95</v>
      </c>
      <c r="BL845" t="s">
        <v>1418</v>
      </c>
      <c r="BM845" t="s">
        <v>11102</v>
      </c>
      <c r="BN845" t="s">
        <v>74</v>
      </c>
      <c r="BO845" t="s">
        <v>74</v>
      </c>
      <c r="BP845" t="s">
        <v>74</v>
      </c>
      <c r="BQ845" t="s">
        <v>74</v>
      </c>
      <c r="BR845" t="s">
        <v>98</v>
      </c>
      <c r="BS845" t="s">
        <v>11197</v>
      </c>
      <c r="BT845" t="str">
        <f>HYPERLINK("https%3A%2F%2Fwww.webofscience.com%2Fwos%2Fwoscc%2Ffull-record%2FWOS:000073670500032","View Full Record in Web of Science")</f>
        <v>View Full Record in Web of Science</v>
      </c>
    </row>
    <row r="846" spans="1:72" x14ac:dyDescent="0.15">
      <c r="A846" t="s">
        <v>72</v>
      </c>
      <c r="B846" t="s">
        <v>11198</v>
      </c>
      <c r="C846" t="s">
        <v>74</v>
      </c>
      <c r="D846" t="s">
        <v>74</v>
      </c>
      <c r="E846" t="s">
        <v>74</v>
      </c>
      <c r="F846" t="s">
        <v>11198</v>
      </c>
      <c r="G846" t="s">
        <v>74</v>
      </c>
      <c r="H846" t="s">
        <v>74</v>
      </c>
      <c r="I846" t="s">
        <v>11199</v>
      </c>
      <c r="J846" t="s">
        <v>4802</v>
      </c>
      <c r="K846" t="s">
        <v>74</v>
      </c>
      <c r="L846" t="s">
        <v>74</v>
      </c>
      <c r="M846" t="s">
        <v>77</v>
      </c>
      <c r="N846" t="s">
        <v>103</v>
      </c>
      <c r="O846" t="s">
        <v>74</v>
      </c>
      <c r="P846" t="s">
        <v>74</v>
      </c>
      <c r="Q846" t="s">
        <v>74</v>
      </c>
      <c r="R846" t="s">
        <v>74</v>
      </c>
      <c r="S846" t="s">
        <v>74</v>
      </c>
      <c r="T846" t="s">
        <v>74</v>
      </c>
      <c r="U846" t="s">
        <v>11200</v>
      </c>
      <c r="V846" t="s">
        <v>11201</v>
      </c>
      <c r="W846" t="s">
        <v>11202</v>
      </c>
      <c r="X846" t="s">
        <v>11203</v>
      </c>
      <c r="Y846" t="s">
        <v>11204</v>
      </c>
      <c r="Z846" t="s">
        <v>11205</v>
      </c>
      <c r="AA846" t="s">
        <v>5087</v>
      </c>
      <c r="AB846" t="s">
        <v>5088</v>
      </c>
      <c r="AC846" t="s">
        <v>74</v>
      </c>
      <c r="AD846" t="s">
        <v>74</v>
      </c>
      <c r="AE846" t="s">
        <v>74</v>
      </c>
      <c r="AF846" t="s">
        <v>74</v>
      </c>
      <c r="AG846">
        <v>22</v>
      </c>
      <c r="AH846">
        <v>98</v>
      </c>
      <c r="AI846">
        <v>111</v>
      </c>
      <c r="AJ846">
        <v>1</v>
      </c>
      <c r="AK846">
        <v>34</v>
      </c>
      <c r="AL846" t="s">
        <v>966</v>
      </c>
      <c r="AM846" t="s">
        <v>967</v>
      </c>
      <c r="AN846" t="s">
        <v>968</v>
      </c>
      <c r="AO846" t="s">
        <v>4811</v>
      </c>
      <c r="AP846" t="s">
        <v>74</v>
      </c>
      <c r="AQ846" t="s">
        <v>74</v>
      </c>
      <c r="AR846" t="s">
        <v>4813</v>
      </c>
      <c r="AS846" t="s">
        <v>4814</v>
      </c>
      <c r="AT846" t="s">
        <v>11099</v>
      </c>
      <c r="AU846">
        <v>1998</v>
      </c>
      <c r="AV846">
        <v>103</v>
      </c>
      <c r="AW846" t="s">
        <v>11100</v>
      </c>
      <c r="AX846" t="s">
        <v>74</v>
      </c>
      <c r="AY846" t="s">
        <v>74</v>
      </c>
      <c r="AZ846" t="s">
        <v>74</v>
      </c>
      <c r="BA846" t="s">
        <v>74</v>
      </c>
      <c r="BB846">
        <v>11033</v>
      </c>
      <c r="BC846">
        <v>11041</v>
      </c>
      <c r="BD846" t="s">
        <v>74</v>
      </c>
      <c r="BE846" t="s">
        <v>11206</v>
      </c>
      <c r="BF846" t="str">
        <f>HYPERLINK("http://dx.doi.org/10.1029/97JD01363","http://dx.doi.org/10.1029/97JD01363")</f>
        <v>http://dx.doi.org/10.1029/97JD01363</v>
      </c>
      <c r="BG846" t="s">
        <v>74</v>
      </c>
      <c r="BH846" t="s">
        <v>74</v>
      </c>
      <c r="BI846">
        <v>9</v>
      </c>
      <c r="BJ846" t="s">
        <v>1418</v>
      </c>
      <c r="BK846" t="s">
        <v>95</v>
      </c>
      <c r="BL846" t="s">
        <v>1418</v>
      </c>
      <c r="BM846" t="s">
        <v>11102</v>
      </c>
      <c r="BN846" t="s">
        <v>74</v>
      </c>
      <c r="BO846" t="s">
        <v>11207</v>
      </c>
      <c r="BP846" t="s">
        <v>74</v>
      </c>
      <c r="BQ846" t="s">
        <v>74</v>
      </c>
      <c r="BR846" t="s">
        <v>98</v>
      </c>
      <c r="BS846" t="s">
        <v>11208</v>
      </c>
      <c r="BT846" t="str">
        <f>HYPERLINK("https%3A%2F%2Fwww.webofscience.com%2Fwos%2Fwoscc%2Ffull-record%2FWOS:000073670500033","View Full Record in Web of Science")</f>
        <v>View Full Record in Web of Science</v>
      </c>
    </row>
    <row r="847" spans="1:72" x14ac:dyDescent="0.15">
      <c r="A847" t="s">
        <v>72</v>
      </c>
      <c r="B847" t="s">
        <v>11209</v>
      </c>
      <c r="C847" t="s">
        <v>74</v>
      </c>
      <c r="D847" t="s">
        <v>74</v>
      </c>
      <c r="E847" t="s">
        <v>74</v>
      </c>
      <c r="F847" t="s">
        <v>11209</v>
      </c>
      <c r="G847" t="s">
        <v>74</v>
      </c>
      <c r="H847" t="s">
        <v>74</v>
      </c>
      <c r="I847" t="s">
        <v>11210</v>
      </c>
      <c r="J847" t="s">
        <v>4802</v>
      </c>
      <c r="K847" t="s">
        <v>74</v>
      </c>
      <c r="L847" t="s">
        <v>74</v>
      </c>
      <c r="M847" t="s">
        <v>77</v>
      </c>
      <c r="N847" t="s">
        <v>103</v>
      </c>
      <c r="O847" t="s">
        <v>74</v>
      </c>
      <c r="P847" t="s">
        <v>74</v>
      </c>
      <c r="Q847" t="s">
        <v>74</v>
      </c>
      <c r="R847" t="s">
        <v>74</v>
      </c>
      <c r="S847" t="s">
        <v>74</v>
      </c>
      <c r="T847" t="s">
        <v>74</v>
      </c>
      <c r="U847" t="s">
        <v>11211</v>
      </c>
      <c r="V847" t="s">
        <v>11212</v>
      </c>
      <c r="W847" t="s">
        <v>11213</v>
      </c>
      <c r="X847" t="s">
        <v>11214</v>
      </c>
      <c r="Y847" t="s">
        <v>11215</v>
      </c>
      <c r="Z847" t="s">
        <v>11170</v>
      </c>
      <c r="AA847" t="s">
        <v>11216</v>
      </c>
      <c r="AB847" t="s">
        <v>1511</v>
      </c>
      <c r="AC847" t="s">
        <v>74</v>
      </c>
      <c r="AD847" t="s">
        <v>74</v>
      </c>
      <c r="AE847" t="s">
        <v>74</v>
      </c>
      <c r="AF847" t="s">
        <v>74</v>
      </c>
      <c r="AG847">
        <v>40</v>
      </c>
      <c r="AH847">
        <v>110</v>
      </c>
      <c r="AI847">
        <v>114</v>
      </c>
      <c r="AJ847">
        <v>0</v>
      </c>
      <c r="AK847">
        <v>21</v>
      </c>
      <c r="AL847" t="s">
        <v>966</v>
      </c>
      <c r="AM847" t="s">
        <v>967</v>
      </c>
      <c r="AN847" t="s">
        <v>968</v>
      </c>
      <c r="AO847" t="s">
        <v>4811</v>
      </c>
      <c r="AP847" t="s">
        <v>4812</v>
      </c>
      <c r="AQ847" t="s">
        <v>74</v>
      </c>
      <c r="AR847" t="s">
        <v>4813</v>
      </c>
      <c r="AS847" t="s">
        <v>4814</v>
      </c>
      <c r="AT847" t="s">
        <v>11099</v>
      </c>
      <c r="AU847">
        <v>1998</v>
      </c>
      <c r="AV847">
        <v>103</v>
      </c>
      <c r="AW847" t="s">
        <v>11100</v>
      </c>
      <c r="AX847" t="s">
        <v>74</v>
      </c>
      <c r="AY847" t="s">
        <v>74</v>
      </c>
      <c r="AZ847" t="s">
        <v>74</v>
      </c>
      <c r="BA847" t="s">
        <v>74</v>
      </c>
      <c r="BB847">
        <v>11043</v>
      </c>
      <c r="BC847">
        <v>11056</v>
      </c>
      <c r="BD847" t="s">
        <v>74</v>
      </c>
      <c r="BE847" t="s">
        <v>11217</v>
      </c>
      <c r="BF847" t="str">
        <f>HYPERLINK("http://dx.doi.org/10.1029/97JD01976","http://dx.doi.org/10.1029/97JD01976")</f>
        <v>http://dx.doi.org/10.1029/97JD01976</v>
      </c>
      <c r="BG847" t="s">
        <v>74</v>
      </c>
      <c r="BH847" t="s">
        <v>74</v>
      </c>
      <c r="BI847">
        <v>14</v>
      </c>
      <c r="BJ847" t="s">
        <v>1418</v>
      </c>
      <c r="BK847" t="s">
        <v>95</v>
      </c>
      <c r="BL847" t="s">
        <v>1418</v>
      </c>
      <c r="BM847" t="s">
        <v>11102</v>
      </c>
      <c r="BN847" t="s">
        <v>74</v>
      </c>
      <c r="BO847" t="s">
        <v>1089</v>
      </c>
      <c r="BP847" t="s">
        <v>74</v>
      </c>
      <c r="BQ847" t="s">
        <v>74</v>
      </c>
      <c r="BR847" t="s">
        <v>98</v>
      </c>
      <c r="BS847" t="s">
        <v>11218</v>
      </c>
      <c r="BT847" t="str">
        <f>HYPERLINK("https%3A%2F%2Fwww.webofscience.com%2Fwos%2Fwoscc%2Ffull-record%2FWOS:000073670500034","View Full Record in Web of Science")</f>
        <v>View Full Record in Web of Science</v>
      </c>
    </row>
    <row r="848" spans="1:72" x14ac:dyDescent="0.15">
      <c r="A848" t="s">
        <v>72</v>
      </c>
      <c r="B848" t="s">
        <v>11219</v>
      </c>
      <c r="C848" t="s">
        <v>74</v>
      </c>
      <c r="D848" t="s">
        <v>74</v>
      </c>
      <c r="E848" t="s">
        <v>74</v>
      </c>
      <c r="F848" t="s">
        <v>11219</v>
      </c>
      <c r="G848" t="s">
        <v>74</v>
      </c>
      <c r="H848" t="s">
        <v>74</v>
      </c>
      <c r="I848" t="s">
        <v>11220</v>
      </c>
      <c r="J848" t="s">
        <v>4802</v>
      </c>
      <c r="K848" t="s">
        <v>74</v>
      </c>
      <c r="L848" t="s">
        <v>74</v>
      </c>
      <c r="M848" t="s">
        <v>77</v>
      </c>
      <c r="N848" t="s">
        <v>103</v>
      </c>
      <c r="O848" t="s">
        <v>74</v>
      </c>
      <c r="P848" t="s">
        <v>74</v>
      </c>
      <c r="Q848" t="s">
        <v>74</v>
      </c>
      <c r="R848" t="s">
        <v>74</v>
      </c>
      <c r="S848" t="s">
        <v>74</v>
      </c>
      <c r="T848" t="s">
        <v>74</v>
      </c>
      <c r="U848" t="s">
        <v>11221</v>
      </c>
      <c r="V848" t="s">
        <v>11222</v>
      </c>
      <c r="W848" t="s">
        <v>11223</v>
      </c>
      <c r="X848" t="s">
        <v>11191</v>
      </c>
      <c r="Y848" t="s">
        <v>11224</v>
      </c>
      <c r="Z848" t="s">
        <v>11225</v>
      </c>
      <c r="AA848" t="s">
        <v>11226</v>
      </c>
      <c r="AB848" t="s">
        <v>11195</v>
      </c>
      <c r="AC848" t="s">
        <v>74</v>
      </c>
      <c r="AD848" t="s">
        <v>74</v>
      </c>
      <c r="AE848" t="s">
        <v>74</v>
      </c>
      <c r="AF848" t="s">
        <v>74</v>
      </c>
      <c r="AG848">
        <v>30</v>
      </c>
      <c r="AH848">
        <v>59</v>
      </c>
      <c r="AI848">
        <v>66</v>
      </c>
      <c r="AJ848">
        <v>2</v>
      </c>
      <c r="AK848">
        <v>15</v>
      </c>
      <c r="AL848" t="s">
        <v>966</v>
      </c>
      <c r="AM848" t="s">
        <v>967</v>
      </c>
      <c r="AN848" t="s">
        <v>968</v>
      </c>
      <c r="AO848" t="s">
        <v>4811</v>
      </c>
      <c r="AP848" t="s">
        <v>4812</v>
      </c>
      <c r="AQ848" t="s">
        <v>74</v>
      </c>
      <c r="AR848" t="s">
        <v>4813</v>
      </c>
      <c r="AS848" t="s">
        <v>4814</v>
      </c>
      <c r="AT848" t="s">
        <v>11099</v>
      </c>
      <c r="AU848">
        <v>1998</v>
      </c>
      <c r="AV848">
        <v>103</v>
      </c>
      <c r="AW848" t="s">
        <v>11100</v>
      </c>
      <c r="AX848" t="s">
        <v>74</v>
      </c>
      <c r="AY848" t="s">
        <v>74</v>
      </c>
      <c r="AZ848" t="s">
        <v>74</v>
      </c>
      <c r="BA848" t="s">
        <v>74</v>
      </c>
      <c r="BB848">
        <v>11057</v>
      </c>
      <c r="BC848">
        <v>11070</v>
      </c>
      <c r="BD848" t="s">
        <v>74</v>
      </c>
      <c r="BE848" t="s">
        <v>11227</v>
      </c>
      <c r="BF848" t="str">
        <f>HYPERLINK("http://dx.doi.org/10.1029/97JD02613","http://dx.doi.org/10.1029/97JD02613")</f>
        <v>http://dx.doi.org/10.1029/97JD02613</v>
      </c>
      <c r="BG848" t="s">
        <v>74</v>
      </c>
      <c r="BH848" t="s">
        <v>74</v>
      </c>
      <c r="BI848">
        <v>14</v>
      </c>
      <c r="BJ848" t="s">
        <v>1418</v>
      </c>
      <c r="BK848" t="s">
        <v>95</v>
      </c>
      <c r="BL848" t="s">
        <v>1418</v>
      </c>
      <c r="BM848" t="s">
        <v>11102</v>
      </c>
      <c r="BN848" t="s">
        <v>74</v>
      </c>
      <c r="BO848" t="s">
        <v>2825</v>
      </c>
      <c r="BP848" t="s">
        <v>74</v>
      </c>
      <c r="BQ848" t="s">
        <v>74</v>
      </c>
      <c r="BR848" t="s">
        <v>98</v>
      </c>
      <c r="BS848" t="s">
        <v>11228</v>
      </c>
      <c r="BT848" t="str">
        <f>HYPERLINK("https%3A%2F%2Fwww.webofscience.com%2Fwos%2Fwoscc%2Ffull-record%2FWOS:000073670500035","View Full Record in Web of Science")</f>
        <v>View Full Record in Web of Science</v>
      </c>
    </row>
    <row r="849" spans="1:72" x14ac:dyDescent="0.15">
      <c r="A849" t="s">
        <v>72</v>
      </c>
      <c r="B849" t="s">
        <v>11229</v>
      </c>
      <c r="C849" t="s">
        <v>74</v>
      </c>
      <c r="D849" t="s">
        <v>74</v>
      </c>
      <c r="E849" t="s">
        <v>74</v>
      </c>
      <c r="F849" t="s">
        <v>11229</v>
      </c>
      <c r="G849" t="s">
        <v>74</v>
      </c>
      <c r="H849" t="s">
        <v>74</v>
      </c>
      <c r="I849" t="s">
        <v>11230</v>
      </c>
      <c r="J849" t="s">
        <v>3728</v>
      </c>
      <c r="K849" t="s">
        <v>74</v>
      </c>
      <c r="L849" t="s">
        <v>74</v>
      </c>
      <c r="M849" t="s">
        <v>77</v>
      </c>
      <c r="N849" t="s">
        <v>103</v>
      </c>
      <c r="O849" t="s">
        <v>74</v>
      </c>
      <c r="P849" t="s">
        <v>74</v>
      </c>
      <c r="Q849" t="s">
        <v>74</v>
      </c>
      <c r="R849" t="s">
        <v>74</v>
      </c>
      <c r="S849" t="s">
        <v>74</v>
      </c>
      <c r="T849" t="s">
        <v>74</v>
      </c>
      <c r="U849" t="s">
        <v>11231</v>
      </c>
      <c r="V849" t="s">
        <v>11232</v>
      </c>
      <c r="W849" t="s">
        <v>11233</v>
      </c>
      <c r="X849" t="s">
        <v>11234</v>
      </c>
      <c r="Y849" t="s">
        <v>11235</v>
      </c>
      <c r="Z849" t="s">
        <v>11236</v>
      </c>
      <c r="AA849" t="s">
        <v>74</v>
      </c>
      <c r="AB849" t="s">
        <v>11237</v>
      </c>
      <c r="AC849" t="s">
        <v>74</v>
      </c>
      <c r="AD849" t="s">
        <v>74</v>
      </c>
      <c r="AE849" t="s">
        <v>74</v>
      </c>
      <c r="AF849" t="s">
        <v>74</v>
      </c>
      <c r="AG849">
        <v>34</v>
      </c>
      <c r="AH849">
        <v>32</v>
      </c>
      <c r="AI849">
        <v>37</v>
      </c>
      <c r="AJ849">
        <v>1</v>
      </c>
      <c r="AK849">
        <v>4</v>
      </c>
      <c r="AL849" t="s">
        <v>3735</v>
      </c>
      <c r="AM849" t="s">
        <v>1740</v>
      </c>
      <c r="AN849" t="s">
        <v>3928</v>
      </c>
      <c r="AO849" t="s">
        <v>3738</v>
      </c>
      <c r="AP849" t="s">
        <v>74</v>
      </c>
      <c r="AQ849" t="s">
        <v>74</v>
      </c>
      <c r="AR849" t="s">
        <v>3740</v>
      </c>
      <c r="AS849" t="s">
        <v>3741</v>
      </c>
      <c r="AT849" t="s">
        <v>11238</v>
      </c>
      <c r="AU849">
        <v>1998</v>
      </c>
      <c r="AV849">
        <v>273</v>
      </c>
      <c r="AW849">
        <v>20</v>
      </c>
      <c r="AX849" t="s">
        <v>74</v>
      </c>
      <c r="AY849" t="s">
        <v>74</v>
      </c>
      <c r="AZ849" t="s">
        <v>74</v>
      </c>
      <c r="BA849" t="s">
        <v>74</v>
      </c>
      <c r="BB849">
        <v>12109</v>
      </c>
      <c r="BC849">
        <v>12115</v>
      </c>
      <c r="BD849" t="s">
        <v>74</v>
      </c>
      <c r="BE849" t="s">
        <v>11239</v>
      </c>
      <c r="BF849" t="str">
        <f>HYPERLINK("http://dx.doi.org/10.1074/jbc.273.20.12109","http://dx.doi.org/10.1074/jbc.273.20.12109")</f>
        <v>http://dx.doi.org/10.1074/jbc.273.20.12109</v>
      </c>
      <c r="BG849" t="s">
        <v>74</v>
      </c>
      <c r="BH849" t="s">
        <v>74</v>
      </c>
      <c r="BI849">
        <v>7</v>
      </c>
      <c r="BJ849" t="s">
        <v>3744</v>
      </c>
      <c r="BK849" t="s">
        <v>95</v>
      </c>
      <c r="BL849" t="s">
        <v>3744</v>
      </c>
      <c r="BM849" t="s">
        <v>11240</v>
      </c>
      <c r="BN849">
        <v>9575155</v>
      </c>
      <c r="BO849" t="s">
        <v>11241</v>
      </c>
      <c r="BP849" t="s">
        <v>74</v>
      </c>
      <c r="BQ849" t="s">
        <v>74</v>
      </c>
      <c r="BR849" t="s">
        <v>98</v>
      </c>
      <c r="BS849" t="s">
        <v>11242</v>
      </c>
      <c r="BT849" t="str">
        <f>HYPERLINK("https%3A%2F%2Fwww.webofscience.com%2Fwos%2Fwoscc%2Ffull-record%2FWOS:000073629800020","View Full Record in Web of Science")</f>
        <v>View Full Record in Web of Science</v>
      </c>
    </row>
    <row r="850" spans="1:72" x14ac:dyDescent="0.15">
      <c r="A850" t="s">
        <v>72</v>
      </c>
      <c r="B850" t="s">
        <v>11243</v>
      </c>
      <c r="C850" t="s">
        <v>74</v>
      </c>
      <c r="D850" t="s">
        <v>74</v>
      </c>
      <c r="E850" t="s">
        <v>74</v>
      </c>
      <c r="F850" t="s">
        <v>11243</v>
      </c>
      <c r="G850" t="s">
        <v>74</v>
      </c>
      <c r="H850" t="s">
        <v>74</v>
      </c>
      <c r="I850" t="s">
        <v>11244</v>
      </c>
      <c r="J850" t="s">
        <v>3825</v>
      </c>
      <c r="K850" t="s">
        <v>74</v>
      </c>
      <c r="L850" t="s">
        <v>74</v>
      </c>
      <c r="M850" t="s">
        <v>77</v>
      </c>
      <c r="N850" t="s">
        <v>103</v>
      </c>
      <c r="O850" t="s">
        <v>74</v>
      </c>
      <c r="P850" t="s">
        <v>74</v>
      </c>
      <c r="Q850" t="s">
        <v>74</v>
      </c>
      <c r="R850" t="s">
        <v>74</v>
      </c>
      <c r="S850" t="s">
        <v>74</v>
      </c>
      <c r="T850" t="s">
        <v>74</v>
      </c>
      <c r="U850" t="s">
        <v>11245</v>
      </c>
      <c r="V850" t="s">
        <v>11246</v>
      </c>
      <c r="W850" t="s">
        <v>11247</v>
      </c>
      <c r="X850" t="s">
        <v>11248</v>
      </c>
      <c r="Y850" t="s">
        <v>11249</v>
      </c>
      <c r="Z850" t="s">
        <v>11250</v>
      </c>
      <c r="AA850" t="s">
        <v>11251</v>
      </c>
      <c r="AB850" t="s">
        <v>11252</v>
      </c>
      <c r="AC850" t="s">
        <v>74</v>
      </c>
      <c r="AD850" t="s">
        <v>74</v>
      </c>
      <c r="AE850" t="s">
        <v>74</v>
      </c>
      <c r="AF850" t="s">
        <v>74</v>
      </c>
      <c r="AG850">
        <v>38</v>
      </c>
      <c r="AH850">
        <v>19</v>
      </c>
      <c r="AI850">
        <v>19</v>
      </c>
      <c r="AJ850">
        <v>0</v>
      </c>
      <c r="AK850">
        <v>9</v>
      </c>
      <c r="AL850" t="s">
        <v>966</v>
      </c>
      <c r="AM850" t="s">
        <v>967</v>
      </c>
      <c r="AN850" t="s">
        <v>968</v>
      </c>
      <c r="AO850" t="s">
        <v>3833</v>
      </c>
      <c r="AP850" t="s">
        <v>3834</v>
      </c>
      <c r="AQ850" t="s">
        <v>74</v>
      </c>
      <c r="AR850" t="s">
        <v>3835</v>
      </c>
      <c r="AS850" t="s">
        <v>3836</v>
      </c>
      <c r="AT850" t="s">
        <v>11238</v>
      </c>
      <c r="AU850">
        <v>1998</v>
      </c>
      <c r="AV850">
        <v>103</v>
      </c>
      <c r="AW850" t="s">
        <v>11253</v>
      </c>
      <c r="AX850" t="s">
        <v>74</v>
      </c>
      <c r="AY850" t="s">
        <v>74</v>
      </c>
      <c r="AZ850" t="s">
        <v>74</v>
      </c>
      <c r="BA850" t="s">
        <v>74</v>
      </c>
      <c r="BB850">
        <v>10241</v>
      </c>
      <c r="BC850">
        <v>10251</v>
      </c>
      <c r="BD850" t="s">
        <v>74</v>
      </c>
      <c r="BE850" t="s">
        <v>11254</v>
      </c>
      <c r="BF850" t="str">
        <f>HYPERLINK("http://dx.doi.org/10.1029/98JC00367","http://dx.doi.org/10.1029/98JC00367")</f>
        <v>http://dx.doi.org/10.1029/98JC00367</v>
      </c>
      <c r="BG850" t="s">
        <v>74</v>
      </c>
      <c r="BH850" t="s">
        <v>74</v>
      </c>
      <c r="BI850">
        <v>11</v>
      </c>
      <c r="BJ850" t="s">
        <v>451</v>
      </c>
      <c r="BK850" t="s">
        <v>95</v>
      </c>
      <c r="BL850" t="s">
        <v>451</v>
      </c>
      <c r="BM850" t="s">
        <v>11255</v>
      </c>
      <c r="BN850" t="s">
        <v>74</v>
      </c>
      <c r="BO850" t="s">
        <v>1089</v>
      </c>
      <c r="BP850" t="s">
        <v>74</v>
      </c>
      <c r="BQ850" t="s">
        <v>74</v>
      </c>
      <c r="BR850" t="s">
        <v>98</v>
      </c>
      <c r="BS850" t="s">
        <v>11256</v>
      </c>
      <c r="BT850" t="str">
        <f>HYPERLINK("https%3A%2F%2Fwww.webofscience.com%2Fwos%2Fwoscc%2Ffull-record%2FWOS:000073634000003","View Full Record in Web of Science")</f>
        <v>View Full Record in Web of Science</v>
      </c>
    </row>
    <row r="851" spans="1:72" x14ac:dyDescent="0.15">
      <c r="A851" t="s">
        <v>72</v>
      </c>
      <c r="B851" t="s">
        <v>11257</v>
      </c>
      <c r="C851" t="s">
        <v>74</v>
      </c>
      <c r="D851" t="s">
        <v>74</v>
      </c>
      <c r="E851" t="s">
        <v>74</v>
      </c>
      <c r="F851" t="s">
        <v>11257</v>
      </c>
      <c r="G851" t="s">
        <v>74</v>
      </c>
      <c r="H851" t="s">
        <v>74</v>
      </c>
      <c r="I851" t="s">
        <v>11258</v>
      </c>
      <c r="J851" t="s">
        <v>11259</v>
      </c>
      <c r="K851" t="s">
        <v>74</v>
      </c>
      <c r="L851" t="s">
        <v>74</v>
      </c>
      <c r="M851" t="s">
        <v>77</v>
      </c>
      <c r="N851" t="s">
        <v>103</v>
      </c>
      <c r="O851" t="s">
        <v>74</v>
      </c>
      <c r="P851" t="s">
        <v>74</v>
      </c>
      <c r="Q851" t="s">
        <v>74</v>
      </c>
      <c r="R851" t="s">
        <v>74</v>
      </c>
      <c r="S851" t="s">
        <v>74</v>
      </c>
      <c r="T851" t="s">
        <v>74</v>
      </c>
      <c r="U851" t="s">
        <v>11260</v>
      </c>
      <c r="V851" t="s">
        <v>11261</v>
      </c>
      <c r="W851" t="s">
        <v>11262</v>
      </c>
      <c r="X851" t="s">
        <v>11263</v>
      </c>
      <c r="Y851" t="s">
        <v>11264</v>
      </c>
      <c r="Z851" t="s">
        <v>74</v>
      </c>
      <c r="AA851" t="s">
        <v>74</v>
      </c>
      <c r="AB851" t="s">
        <v>74</v>
      </c>
      <c r="AC851" t="s">
        <v>74</v>
      </c>
      <c r="AD851" t="s">
        <v>74</v>
      </c>
      <c r="AE851" t="s">
        <v>74</v>
      </c>
      <c r="AF851" t="s">
        <v>74</v>
      </c>
      <c r="AG851">
        <v>36</v>
      </c>
      <c r="AH851">
        <v>33</v>
      </c>
      <c r="AI851">
        <v>33</v>
      </c>
      <c r="AJ851">
        <v>0</v>
      </c>
      <c r="AK851">
        <v>8</v>
      </c>
      <c r="AL851" t="s">
        <v>1344</v>
      </c>
      <c r="AM851" t="s">
        <v>1345</v>
      </c>
      <c r="AN851" t="s">
        <v>1346</v>
      </c>
      <c r="AO851" t="s">
        <v>11265</v>
      </c>
      <c r="AP851" t="s">
        <v>74</v>
      </c>
      <c r="AQ851" t="s">
        <v>74</v>
      </c>
      <c r="AR851" t="s">
        <v>11266</v>
      </c>
      <c r="AS851" t="s">
        <v>11267</v>
      </c>
      <c r="AT851" t="s">
        <v>11238</v>
      </c>
      <c r="AU851">
        <v>1998</v>
      </c>
      <c r="AV851">
        <v>55</v>
      </c>
      <c r="AW851">
        <v>10</v>
      </c>
      <c r="AX851" t="s">
        <v>74</v>
      </c>
      <c r="AY851" t="s">
        <v>74</v>
      </c>
      <c r="AZ851" t="s">
        <v>74</v>
      </c>
      <c r="BA851" t="s">
        <v>74</v>
      </c>
      <c r="BB851">
        <v>1755</v>
      </c>
      <c r="BC851">
        <v>1770</v>
      </c>
      <c r="BD851" t="s">
        <v>74</v>
      </c>
      <c r="BE851" t="s">
        <v>11268</v>
      </c>
      <c r="BF851" t="str">
        <f>HYPERLINK("http://dx.doi.org/10.1175/1520-0469(1998)055&lt;1755:DCOKWC&gt;2.0.CO;2","http://dx.doi.org/10.1175/1520-0469(1998)055&lt;1755:DCOKWC&gt;2.0.CO;2")</f>
        <v>http://dx.doi.org/10.1175/1520-0469(1998)055&lt;1755:DCOKWC&gt;2.0.CO;2</v>
      </c>
      <c r="BG851" t="s">
        <v>74</v>
      </c>
      <c r="BH851" t="s">
        <v>74</v>
      </c>
      <c r="BI851">
        <v>16</v>
      </c>
      <c r="BJ851" t="s">
        <v>1418</v>
      </c>
      <c r="BK851" t="s">
        <v>95</v>
      </c>
      <c r="BL851" t="s">
        <v>1418</v>
      </c>
      <c r="BM851" t="s">
        <v>11269</v>
      </c>
      <c r="BN851" t="s">
        <v>74</v>
      </c>
      <c r="BO851" t="s">
        <v>1429</v>
      </c>
      <c r="BP851" t="s">
        <v>74</v>
      </c>
      <c r="BQ851" t="s">
        <v>74</v>
      </c>
      <c r="BR851" t="s">
        <v>98</v>
      </c>
      <c r="BS851" t="s">
        <v>11270</v>
      </c>
      <c r="BT851" t="str">
        <f>HYPERLINK("https%3A%2F%2Fwww.webofscience.com%2Fwos%2Fwoscc%2Ffull-record%2FWOS:000073667500002","View Full Record in Web of Science")</f>
        <v>View Full Record in Web of Science</v>
      </c>
    </row>
    <row r="852" spans="1:72" x14ac:dyDescent="0.15">
      <c r="A852" t="s">
        <v>72</v>
      </c>
      <c r="B852" t="s">
        <v>11271</v>
      </c>
      <c r="C852" t="s">
        <v>74</v>
      </c>
      <c r="D852" t="s">
        <v>74</v>
      </c>
      <c r="E852" t="s">
        <v>74</v>
      </c>
      <c r="F852" t="s">
        <v>11271</v>
      </c>
      <c r="G852" t="s">
        <v>74</v>
      </c>
      <c r="H852" t="s">
        <v>74</v>
      </c>
      <c r="I852" t="s">
        <v>11272</v>
      </c>
      <c r="J852" t="s">
        <v>6106</v>
      </c>
      <c r="K852" t="s">
        <v>74</v>
      </c>
      <c r="L852" t="s">
        <v>74</v>
      </c>
      <c r="M852" t="s">
        <v>77</v>
      </c>
      <c r="N852" t="s">
        <v>103</v>
      </c>
      <c r="O852" t="s">
        <v>74</v>
      </c>
      <c r="P852" t="s">
        <v>74</v>
      </c>
      <c r="Q852" t="s">
        <v>74</v>
      </c>
      <c r="R852" t="s">
        <v>74</v>
      </c>
      <c r="S852" t="s">
        <v>74</v>
      </c>
      <c r="T852" t="s">
        <v>74</v>
      </c>
      <c r="U852" t="s">
        <v>11273</v>
      </c>
      <c r="V852" t="s">
        <v>11274</v>
      </c>
      <c r="W852" t="s">
        <v>11275</v>
      </c>
      <c r="X852" t="s">
        <v>11276</v>
      </c>
      <c r="Y852" t="s">
        <v>11277</v>
      </c>
      <c r="Z852" t="s">
        <v>11278</v>
      </c>
      <c r="AA852" t="s">
        <v>11279</v>
      </c>
      <c r="AB852" t="s">
        <v>11280</v>
      </c>
      <c r="AC852" t="s">
        <v>74</v>
      </c>
      <c r="AD852" t="s">
        <v>74</v>
      </c>
      <c r="AE852" t="s">
        <v>74</v>
      </c>
      <c r="AF852" t="s">
        <v>74</v>
      </c>
      <c r="AG852">
        <v>21</v>
      </c>
      <c r="AH852">
        <v>44</v>
      </c>
      <c r="AI852">
        <v>46</v>
      </c>
      <c r="AJ852">
        <v>0</v>
      </c>
      <c r="AK852">
        <v>8</v>
      </c>
      <c r="AL852" t="s">
        <v>966</v>
      </c>
      <c r="AM852" t="s">
        <v>967</v>
      </c>
      <c r="AN852" t="s">
        <v>968</v>
      </c>
      <c r="AO852" t="s">
        <v>6114</v>
      </c>
      <c r="AP852" t="s">
        <v>6115</v>
      </c>
      <c r="AQ852" t="s">
        <v>74</v>
      </c>
      <c r="AR852" t="s">
        <v>6116</v>
      </c>
      <c r="AS852" t="s">
        <v>6117</v>
      </c>
      <c r="AT852" t="s">
        <v>11281</v>
      </c>
      <c r="AU852">
        <v>1998</v>
      </c>
      <c r="AV852">
        <v>103</v>
      </c>
      <c r="AW852" t="s">
        <v>11282</v>
      </c>
      <c r="AX852" t="s">
        <v>74</v>
      </c>
      <c r="AY852" t="s">
        <v>74</v>
      </c>
      <c r="AZ852" t="s">
        <v>74</v>
      </c>
      <c r="BA852" t="s">
        <v>74</v>
      </c>
      <c r="BB852">
        <v>10195</v>
      </c>
      <c r="BC852">
        <v>10207</v>
      </c>
      <c r="BD852" t="s">
        <v>74</v>
      </c>
      <c r="BE852" t="s">
        <v>11283</v>
      </c>
      <c r="BF852" t="str">
        <f>HYPERLINK("http://dx.doi.org/10.1029/98JB00390","http://dx.doi.org/10.1029/98JB00390")</f>
        <v>http://dx.doi.org/10.1029/98JB00390</v>
      </c>
      <c r="BG852" t="s">
        <v>74</v>
      </c>
      <c r="BH852" t="s">
        <v>74</v>
      </c>
      <c r="BI852">
        <v>13</v>
      </c>
      <c r="BJ852" t="s">
        <v>303</v>
      </c>
      <c r="BK852" t="s">
        <v>95</v>
      </c>
      <c r="BL852" t="s">
        <v>303</v>
      </c>
      <c r="BM852" t="s">
        <v>11284</v>
      </c>
      <c r="BN852" t="s">
        <v>74</v>
      </c>
      <c r="BO852" t="s">
        <v>74</v>
      </c>
      <c r="BP852" t="s">
        <v>74</v>
      </c>
      <c r="BQ852" t="s">
        <v>74</v>
      </c>
      <c r="BR852" t="s">
        <v>98</v>
      </c>
      <c r="BS852" t="s">
        <v>11285</v>
      </c>
      <c r="BT852" t="str">
        <f>HYPERLINK("https%3A%2F%2Fwww.webofscience.com%2Fwos%2Fwoscc%2Ffull-record%2FWOS:000073536500041","View Full Record in Web of Science")</f>
        <v>View Full Record in Web of Science</v>
      </c>
    </row>
    <row r="853" spans="1:72" x14ac:dyDescent="0.15">
      <c r="A853" t="s">
        <v>72</v>
      </c>
      <c r="B853" t="s">
        <v>11286</v>
      </c>
      <c r="C853" t="s">
        <v>74</v>
      </c>
      <c r="D853" t="s">
        <v>74</v>
      </c>
      <c r="E853" t="s">
        <v>74</v>
      </c>
      <c r="F853" t="s">
        <v>11286</v>
      </c>
      <c r="G853" t="s">
        <v>74</v>
      </c>
      <c r="H853" t="s">
        <v>74</v>
      </c>
      <c r="I853" t="s">
        <v>11287</v>
      </c>
      <c r="J853" t="s">
        <v>3902</v>
      </c>
      <c r="K853" t="s">
        <v>74</v>
      </c>
      <c r="L853" t="s">
        <v>74</v>
      </c>
      <c r="M853" t="s">
        <v>77</v>
      </c>
      <c r="N853" t="s">
        <v>103</v>
      </c>
      <c r="O853" t="s">
        <v>74</v>
      </c>
      <c r="P853" t="s">
        <v>74</v>
      </c>
      <c r="Q853" t="s">
        <v>74</v>
      </c>
      <c r="R853" t="s">
        <v>74</v>
      </c>
      <c r="S853" t="s">
        <v>74</v>
      </c>
      <c r="T853" t="s">
        <v>74</v>
      </c>
      <c r="U853" t="s">
        <v>11288</v>
      </c>
      <c r="V853" t="s">
        <v>11289</v>
      </c>
      <c r="W853" t="s">
        <v>11290</v>
      </c>
      <c r="X853" t="s">
        <v>1142</v>
      </c>
      <c r="Y853" t="s">
        <v>11291</v>
      </c>
      <c r="Z853" t="s">
        <v>74</v>
      </c>
      <c r="AA853" t="s">
        <v>74</v>
      </c>
      <c r="AB853" t="s">
        <v>74</v>
      </c>
      <c r="AC853" t="s">
        <v>74</v>
      </c>
      <c r="AD853" t="s">
        <v>74</v>
      </c>
      <c r="AE853" t="s">
        <v>74</v>
      </c>
      <c r="AF853" t="s">
        <v>74</v>
      </c>
      <c r="AG853">
        <v>31</v>
      </c>
      <c r="AH853">
        <v>42</v>
      </c>
      <c r="AI853">
        <v>42</v>
      </c>
      <c r="AJ853">
        <v>0</v>
      </c>
      <c r="AK853">
        <v>7</v>
      </c>
      <c r="AL853" t="s">
        <v>3813</v>
      </c>
      <c r="AM853" t="s">
        <v>967</v>
      </c>
      <c r="AN853" t="s">
        <v>3814</v>
      </c>
      <c r="AO853" t="s">
        <v>3910</v>
      </c>
      <c r="AP853" t="s">
        <v>74</v>
      </c>
      <c r="AQ853" t="s">
        <v>74</v>
      </c>
      <c r="AR853" t="s">
        <v>3912</v>
      </c>
      <c r="AS853" t="s">
        <v>3913</v>
      </c>
      <c r="AT853" t="s">
        <v>11292</v>
      </c>
      <c r="AU853">
        <v>1998</v>
      </c>
      <c r="AV853">
        <v>102</v>
      </c>
      <c r="AW853">
        <v>19</v>
      </c>
      <c r="AX853" t="s">
        <v>74</v>
      </c>
      <c r="AY853" t="s">
        <v>74</v>
      </c>
      <c r="AZ853" t="s">
        <v>74</v>
      </c>
      <c r="BA853" t="s">
        <v>74</v>
      </c>
      <c r="BB853">
        <v>3293</v>
      </c>
      <c r="BC853">
        <v>3298</v>
      </c>
      <c r="BD853" t="s">
        <v>74</v>
      </c>
      <c r="BE853" t="s">
        <v>11293</v>
      </c>
      <c r="BF853" t="str">
        <f>HYPERLINK("http://dx.doi.org/10.1021/jp980272c","http://dx.doi.org/10.1021/jp980272c")</f>
        <v>http://dx.doi.org/10.1021/jp980272c</v>
      </c>
      <c r="BG853" t="s">
        <v>74</v>
      </c>
      <c r="BH853" t="s">
        <v>74</v>
      </c>
      <c r="BI853">
        <v>6</v>
      </c>
      <c r="BJ853" t="s">
        <v>3654</v>
      </c>
      <c r="BK853" t="s">
        <v>95</v>
      </c>
      <c r="BL853" t="s">
        <v>3655</v>
      </c>
      <c r="BM853" t="s">
        <v>11294</v>
      </c>
      <c r="BN853" t="s">
        <v>74</v>
      </c>
      <c r="BO853" t="s">
        <v>74</v>
      </c>
      <c r="BP853" t="s">
        <v>74</v>
      </c>
      <c r="BQ853" t="s">
        <v>74</v>
      </c>
      <c r="BR853" t="s">
        <v>98</v>
      </c>
      <c r="BS853" t="s">
        <v>11295</v>
      </c>
      <c r="BT853" t="str">
        <f>HYPERLINK("https%3A%2F%2Fwww.webofscience.com%2Fwos%2Fwoscc%2Ffull-record%2FWOS:000073779600011","View Full Record in Web of Science")</f>
        <v>View Full Record in Web of Science</v>
      </c>
    </row>
    <row r="854" spans="1:72" x14ac:dyDescent="0.15">
      <c r="A854" t="s">
        <v>72</v>
      </c>
      <c r="B854" t="s">
        <v>11296</v>
      </c>
      <c r="C854" t="s">
        <v>74</v>
      </c>
      <c r="D854" t="s">
        <v>74</v>
      </c>
      <c r="E854" t="s">
        <v>74</v>
      </c>
      <c r="F854" t="s">
        <v>11296</v>
      </c>
      <c r="G854" t="s">
        <v>74</v>
      </c>
      <c r="H854" t="s">
        <v>74</v>
      </c>
      <c r="I854" t="s">
        <v>11297</v>
      </c>
      <c r="J854" t="s">
        <v>9142</v>
      </c>
      <c r="K854" t="s">
        <v>74</v>
      </c>
      <c r="L854" t="s">
        <v>74</v>
      </c>
      <c r="M854" t="s">
        <v>77</v>
      </c>
      <c r="N854" t="s">
        <v>103</v>
      </c>
      <c r="O854" t="s">
        <v>74</v>
      </c>
      <c r="P854" t="s">
        <v>74</v>
      </c>
      <c r="Q854" t="s">
        <v>74</v>
      </c>
      <c r="R854" t="s">
        <v>74</v>
      </c>
      <c r="S854" t="s">
        <v>74</v>
      </c>
      <c r="T854" t="s">
        <v>74</v>
      </c>
      <c r="U854" t="s">
        <v>11298</v>
      </c>
      <c r="V854" t="s">
        <v>11299</v>
      </c>
      <c r="W854" t="s">
        <v>11300</v>
      </c>
      <c r="X854" t="s">
        <v>11301</v>
      </c>
      <c r="Y854" t="s">
        <v>11302</v>
      </c>
      <c r="Z854" t="s">
        <v>74</v>
      </c>
      <c r="AA854" t="s">
        <v>11303</v>
      </c>
      <c r="AB854" t="s">
        <v>74</v>
      </c>
      <c r="AC854" t="s">
        <v>74</v>
      </c>
      <c r="AD854" t="s">
        <v>74</v>
      </c>
      <c r="AE854" t="s">
        <v>74</v>
      </c>
      <c r="AF854" t="s">
        <v>74</v>
      </c>
      <c r="AG854">
        <v>64</v>
      </c>
      <c r="AH854">
        <v>55</v>
      </c>
      <c r="AI854">
        <v>58</v>
      </c>
      <c r="AJ854">
        <v>0</v>
      </c>
      <c r="AK854">
        <v>8</v>
      </c>
      <c r="AL854" t="s">
        <v>9149</v>
      </c>
      <c r="AM854" t="s">
        <v>997</v>
      </c>
      <c r="AN854" t="s">
        <v>9150</v>
      </c>
      <c r="AO854" t="s">
        <v>9151</v>
      </c>
      <c r="AP854" t="s">
        <v>74</v>
      </c>
      <c r="AQ854" t="s">
        <v>74</v>
      </c>
      <c r="AR854" t="s">
        <v>9152</v>
      </c>
      <c r="AS854" t="s">
        <v>9153</v>
      </c>
      <c r="AT854" t="s">
        <v>11304</v>
      </c>
      <c r="AU854">
        <v>1998</v>
      </c>
      <c r="AV854">
        <v>82</v>
      </c>
      <c r="AW854">
        <v>5</v>
      </c>
      <c r="AX854" t="s">
        <v>3211</v>
      </c>
      <c r="AY854" t="s">
        <v>74</v>
      </c>
      <c r="AZ854" t="s">
        <v>74</v>
      </c>
      <c r="BA854" t="s">
        <v>74</v>
      </c>
      <c r="BB854">
        <v>792</v>
      </c>
      <c r="BC854">
        <v>816</v>
      </c>
      <c r="BD854" t="s">
        <v>74</v>
      </c>
      <c r="BE854" t="s">
        <v>74</v>
      </c>
      <c r="BF854" t="s">
        <v>74</v>
      </c>
      <c r="BG854" t="s">
        <v>74</v>
      </c>
      <c r="BH854" t="s">
        <v>74</v>
      </c>
      <c r="BI854">
        <v>25</v>
      </c>
      <c r="BJ854" t="s">
        <v>192</v>
      </c>
      <c r="BK854" t="s">
        <v>95</v>
      </c>
      <c r="BL854" t="s">
        <v>193</v>
      </c>
      <c r="BM854" t="s">
        <v>11305</v>
      </c>
      <c r="BN854" t="s">
        <v>74</v>
      </c>
      <c r="BO854" t="s">
        <v>74</v>
      </c>
      <c r="BP854" t="s">
        <v>74</v>
      </c>
      <c r="BQ854" t="s">
        <v>74</v>
      </c>
      <c r="BR854" t="s">
        <v>98</v>
      </c>
      <c r="BS854" t="s">
        <v>11306</v>
      </c>
      <c r="BT854" t="str">
        <f>HYPERLINK("https%3A%2F%2Fwww.webofscience.com%2Fwos%2Fwoscc%2Ffull-record%2FWOS:000073587600005","View Full Record in Web of Science")</f>
        <v>View Full Record in Web of Science</v>
      </c>
    </row>
    <row r="855" spans="1:72" x14ac:dyDescent="0.15">
      <c r="A855" t="s">
        <v>72</v>
      </c>
      <c r="B855" t="s">
        <v>11307</v>
      </c>
      <c r="C855" t="s">
        <v>74</v>
      </c>
      <c r="D855" t="s">
        <v>74</v>
      </c>
      <c r="E855" t="s">
        <v>74</v>
      </c>
      <c r="F855" t="s">
        <v>11307</v>
      </c>
      <c r="G855" t="s">
        <v>74</v>
      </c>
      <c r="H855" t="s">
        <v>74</v>
      </c>
      <c r="I855" t="s">
        <v>11308</v>
      </c>
      <c r="J855" t="s">
        <v>11309</v>
      </c>
      <c r="K855" t="s">
        <v>74</v>
      </c>
      <c r="L855" t="s">
        <v>74</v>
      </c>
      <c r="M855" t="s">
        <v>77</v>
      </c>
      <c r="N855" t="s">
        <v>103</v>
      </c>
      <c r="O855" t="s">
        <v>74</v>
      </c>
      <c r="P855" t="s">
        <v>74</v>
      </c>
      <c r="Q855" t="s">
        <v>74</v>
      </c>
      <c r="R855" t="s">
        <v>74</v>
      </c>
      <c r="S855" t="s">
        <v>74</v>
      </c>
      <c r="T855" t="s">
        <v>11310</v>
      </c>
      <c r="U855" t="s">
        <v>11311</v>
      </c>
      <c r="V855" t="s">
        <v>11312</v>
      </c>
      <c r="W855" t="s">
        <v>11313</v>
      </c>
      <c r="X855" t="s">
        <v>11314</v>
      </c>
      <c r="Y855" t="s">
        <v>11315</v>
      </c>
      <c r="Z855" t="s">
        <v>842</v>
      </c>
      <c r="AA855" t="s">
        <v>843</v>
      </c>
      <c r="AB855" t="s">
        <v>844</v>
      </c>
      <c r="AC855" t="s">
        <v>74</v>
      </c>
      <c r="AD855" t="s">
        <v>74</v>
      </c>
      <c r="AE855" t="s">
        <v>74</v>
      </c>
      <c r="AF855" t="s">
        <v>74</v>
      </c>
      <c r="AG855">
        <v>81</v>
      </c>
      <c r="AH855">
        <v>57</v>
      </c>
      <c r="AI855">
        <v>58</v>
      </c>
      <c r="AJ855">
        <v>1</v>
      </c>
      <c r="AK855">
        <v>26</v>
      </c>
      <c r="AL855" t="s">
        <v>3722</v>
      </c>
      <c r="AM855" t="s">
        <v>1038</v>
      </c>
      <c r="AN855" t="s">
        <v>3723</v>
      </c>
      <c r="AO855" t="s">
        <v>11316</v>
      </c>
      <c r="AP855" t="s">
        <v>11317</v>
      </c>
      <c r="AQ855" t="s">
        <v>74</v>
      </c>
      <c r="AR855" t="s">
        <v>11318</v>
      </c>
      <c r="AS855" t="s">
        <v>11319</v>
      </c>
      <c r="AT855" t="s">
        <v>11320</v>
      </c>
      <c r="AU855">
        <v>1998</v>
      </c>
      <c r="AV855">
        <v>19</v>
      </c>
      <c r="AW855">
        <v>3</v>
      </c>
      <c r="AX855" t="s">
        <v>74</v>
      </c>
      <c r="AY855" t="s">
        <v>74</v>
      </c>
      <c r="AZ855" t="s">
        <v>74</v>
      </c>
      <c r="BA855" t="s">
        <v>74</v>
      </c>
      <c r="BB855">
        <v>303</v>
      </c>
      <c r="BC855">
        <v>308</v>
      </c>
      <c r="BD855" t="s">
        <v>74</v>
      </c>
      <c r="BE855" t="s">
        <v>11321</v>
      </c>
      <c r="BF855" t="str">
        <f>HYPERLINK("http://dx.doi.org/10.1016/S1146-609X(98)80034-9","http://dx.doi.org/10.1016/S1146-609X(98)80034-9")</f>
        <v>http://dx.doi.org/10.1016/S1146-609X(98)80034-9</v>
      </c>
      <c r="BG855" t="s">
        <v>74</v>
      </c>
      <c r="BH855" t="s">
        <v>74</v>
      </c>
      <c r="BI855">
        <v>6</v>
      </c>
      <c r="BJ855" t="s">
        <v>660</v>
      </c>
      <c r="BK855" t="s">
        <v>95</v>
      </c>
      <c r="BL855" t="s">
        <v>661</v>
      </c>
      <c r="BM855" t="s">
        <v>11322</v>
      </c>
      <c r="BN855" t="s">
        <v>74</v>
      </c>
      <c r="BO855" t="s">
        <v>74</v>
      </c>
      <c r="BP855" t="s">
        <v>74</v>
      </c>
      <c r="BQ855" t="s">
        <v>74</v>
      </c>
      <c r="BR855" t="s">
        <v>98</v>
      </c>
      <c r="BS855" t="s">
        <v>11323</v>
      </c>
      <c r="BT855" t="str">
        <f>HYPERLINK("https%3A%2F%2Fwww.webofscience.com%2Fwos%2Fwoscc%2Ffull-record%2FWOS:000075226700012","View Full Record in Web of Science")</f>
        <v>View Full Record in Web of Science</v>
      </c>
    </row>
    <row r="856" spans="1:72" x14ac:dyDescent="0.15">
      <c r="A856" t="s">
        <v>72</v>
      </c>
      <c r="B856" t="s">
        <v>11324</v>
      </c>
      <c r="C856" t="s">
        <v>74</v>
      </c>
      <c r="D856" t="s">
        <v>74</v>
      </c>
      <c r="E856" t="s">
        <v>74</v>
      </c>
      <c r="F856" t="s">
        <v>11324</v>
      </c>
      <c r="G856" t="s">
        <v>74</v>
      </c>
      <c r="H856" t="s">
        <v>74</v>
      </c>
      <c r="I856" t="s">
        <v>11325</v>
      </c>
      <c r="J856" t="s">
        <v>11326</v>
      </c>
      <c r="K856" t="s">
        <v>74</v>
      </c>
      <c r="L856" t="s">
        <v>74</v>
      </c>
      <c r="M856" t="s">
        <v>77</v>
      </c>
      <c r="N856" t="s">
        <v>103</v>
      </c>
      <c r="O856" t="s">
        <v>74</v>
      </c>
      <c r="P856" t="s">
        <v>74</v>
      </c>
      <c r="Q856" t="s">
        <v>74</v>
      </c>
      <c r="R856" t="s">
        <v>74</v>
      </c>
      <c r="S856" t="s">
        <v>74</v>
      </c>
      <c r="T856" t="s">
        <v>74</v>
      </c>
      <c r="U856" t="s">
        <v>11327</v>
      </c>
      <c r="V856" t="s">
        <v>74</v>
      </c>
      <c r="W856" t="s">
        <v>11328</v>
      </c>
      <c r="X856" t="s">
        <v>2052</v>
      </c>
      <c r="Y856" t="s">
        <v>11329</v>
      </c>
      <c r="Z856" t="s">
        <v>11330</v>
      </c>
      <c r="AA856" t="s">
        <v>2055</v>
      </c>
      <c r="AB856" t="s">
        <v>74</v>
      </c>
      <c r="AC856" t="s">
        <v>74</v>
      </c>
      <c r="AD856" t="s">
        <v>74</v>
      </c>
      <c r="AE856" t="s">
        <v>74</v>
      </c>
      <c r="AF856" t="s">
        <v>74</v>
      </c>
      <c r="AG856">
        <v>31</v>
      </c>
      <c r="AH856">
        <v>23</v>
      </c>
      <c r="AI856">
        <v>28</v>
      </c>
      <c r="AJ856">
        <v>0</v>
      </c>
      <c r="AK856">
        <v>2</v>
      </c>
      <c r="AL856" t="s">
        <v>11331</v>
      </c>
      <c r="AM856" t="s">
        <v>11332</v>
      </c>
      <c r="AN856" t="s">
        <v>11333</v>
      </c>
      <c r="AO856" t="s">
        <v>11334</v>
      </c>
      <c r="AP856" t="s">
        <v>74</v>
      </c>
      <c r="AQ856" t="s">
        <v>74</v>
      </c>
      <c r="AR856" t="s">
        <v>11335</v>
      </c>
      <c r="AS856" t="s">
        <v>11336</v>
      </c>
      <c r="AT856" t="s">
        <v>11320</v>
      </c>
      <c r="AU856">
        <v>1998</v>
      </c>
      <c r="AV856">
        <v>86</v>
      </c>
      <c r="AW856">
        <v>3</v>
      </c>
      <c r="AX856" t="s">
        <v>74</v>
      </c>
      <c r="AY856" t="s">
        <v>74</v>
      </c>
      <c r="AZ856" t="s">
        <v>74</v>
      </c>
      <c r="BA856" t="s">
        <v>74</v>
      </c>
      <c r="BB856">
        <v>254</v>
      </c>
      <c r="BC856">
        <v>263</v>
      </c>
      <c r="BD856" t="s">
        <v>74</v>
      </c>
      <c r="BE856" t="s">
        <v>11337</v>
      </c>
      <c r="BF856" t="str">
        <f>HYPERLINK("http://dx.doi.org/10.1511/1998.25.825","http://dx.doi.org/10.1511/1998.25.825")</f>
        <v>http://dx.doi.org/10.1511/1998.25.825</v>
      </c>
      <c r="BG856" t="s">
        <v>74</v>
      </c>
      <c r="BH856" t="s">
        <v>74</v>
      </c>
      <c r="BI856">
        <v>10</v>
      </c>
      <c r="BJ856" t="s">
        <v>3377</v>
      </c>
      <c r="BK856" t="s">
        <v>95</v>
      </c>
      <c r="BL856" t="s">
        <v>3378</v>
      </c>
      <c r="BM856" t="s">
        <v>11338</v>
      </c>
      <c r="BN856" t="s">
        <v>74</v>
      </c>
      <c r="BO856" t="s">
        <v>74</v>
      </c>
      <c r="BP856" t="s">
        <v>74</v>
      </c>
      <c r="BQ856" t="s">
        <v>74</v>
      </c>
      <c r="BR856" t="s">
        <v>98</v>
      </c>
      <c r="BS856" t="s">
        <v>11339</v>
      </c>
      <c r="BT856" t="str">
        <f>HYPERLINK("https%3A%2F%2Fwww.webofscience.com%2Fwos%2Fwoscc%2Ffull-record%2FWOS:000073208000019","View Full Record in Web of Science")</f>
        <v>View Full Record in Web of Science</v>
      </c>
    </row>
    <row r="857" spans="1:72" x14ac:dyDescent="0.15">
      <c r="A857" t="s">
        <v>72</v>
      </c>
      <c r="B857" t="s">
        <v>11340</v>
      </c>
      <c r="C857" t="s">
        <v>74</v>
      </c>
      <c r="D857" t="s">
        <v>74</v>
      </c>
      <c r="E857" t="s">
        <v>74</v>
      </c>
      <c r="F857" t="s">
        <v>11340</v>
      </c>
      <c r="G857" t="s">
        <v>74</v>
      </c>
      <c r="H857" t="s">
        <v>74</v>
      </c>
      <c r="I857" t="s">
        <v>11341</v>
      </c>
      <c r="J857" t="s">
        <v>11342</v>
      </c>
      <c r="K857" t="s">
        <v>74</v>
      </c>
      <c r="L857" t="s">
        <v>74</v>
      </c>
      <c r="M857" t="s">
        <v>77</v>
      </c>
      <c r="N857" t="s">
        <v>123</v>
      </c>
      <c r="O857" t="s">
        <v>11343</v>
      </c>
      <c r="P857" t="s">
        <v>11344</v>
      </c>
      <c r="Q857" t="s">
        <v>11345</v>
      </c>
      <c r="R857" t="s">
        <v>74</v>
      </c>
      <c r="S857" t="s">
        <v>74</v>
      </c>
      <c r="T857" t="s">
        <v>11346</v>
      </c>
      <c r="U857" t="s">
        <v>11347</v>
      </c>
      <c r="V857" t="s">
        <v>11348</v>
      </c>
      <c r="W857" t="s">
        <v>11349</v>
      </c>
      <c r="X857" t="s">
        <v>11350</v>
      </c>
      <c r="Y857" t="s">
        <v>11351</v>
      </c>
      <c r="Z857" t="s">
        <v>74</v>
      </c>
      <c r="AA857" t="s">
        <v>74</v>
      </c>
      <c r="AB857" t="s">
        <v>74</v>
      </c>
      <c r="AC857" t="s">
        <v>74</v>
      </c>
      <c r="AD857" t="s">
        <v>74</v>
      </c>
      <c r="AE857" t="s">
        <v>74</v>
      </c>
      <c r="AF857" t="s">
        <v>74</v>
      </c>
      <c r="AG857">
        <v>67</v>
      </c>
      <c r="AH857">
        <v>11</v>
      </c>
      <c r="AI857">
        <v>11</v>
      </c>
      <c r="AJ857">
        <v>0</v>
      </c>
      <c r="AK857">
        <v>4</v>
      </c>
      <c r="AL857" t="s">
        <v>11352</v>
      </c>
      <c r="AM857" t="s">
        <v>395</v>
      </c>
      <c r="AN857" t="s">
        <v>11353</v>
      </c>
      <c r="AO857" t="s">
        <v>11354</v>
      </c>
      <c r="AP857" t="s">
        <v>74</v>
      </c>
      <c r="AQ857" t="s">
        <v>74</v>
      </c>
      <c r="AR857" t="s">
        <v>11342</v>
      </c>
      <c r="AS857" t="s">
        <v>11355</v>
      </c>
      <c r="AT857" t="s">
        <v>11304</v>
      </c>
      <c r="AU857">
        <v>1998</v>
      </c>
      <c r="AV857">
        <v>123</v>
      </c>
      <c r="AW857">
        <v>5</v>
      </c>
      <c r="AX857" t="s">
        <v>74</v>
      </c>
      <c r="AY857" t="s">
        <v>74</v>
      </c>
      <c r="AZ857" t="s">
        <v>74</v>
      </c>
      <c r="BA857" t="s">
        <v>74</v>
      </c>
      <c r="BB857">
        <v>767</v>
      </c>
      <c r="BC857">
        <v>772</v>
      </c>
      <c r="BD857" t="s">
        <v>74</v>
      </c>
      <c r="BE857" t="s">
        <v>11356</v>
      </c>
      <c r="BF857" t="str">
        <f>HYPERLINK("http://dx.doi.org/10.1039/a707185j","http://dx.doi.org/10.1039/a707185j")</f>
        <v>http://dx.doi.org/10.1039/a707185j</v>
      </c>
      <c r="BG857" t="s">
        <v>74</v>
      </c>
      <c r="BH857" t="s">
        <v>74</v>
      </c>
      <c r="BI857">
        <v>6</v>
      </c>
      <c r="BJ857" t="s">
        <v>3602</v>
      </c>
      <c r="BK857" t="s">
        <v>235</v>
      </c>
      <c r="BL857" t="s">
        <v>1284</v>
      </c>
      <c r="BM857" t="s">
        <v>11357</v>
      </c>
      <c r="BN857" t="s">
        <v>74</v>
      </c>
      <c r="BO857" t="s">
        <v>74</v>
      </c>
      <c r="BP857" t="s">
        <v>74</v>
      </c>
      <c r="BQ857" t="s">
        <v>74</v>
      </c>
      <c r="BR857" t="s">
        <v>98</v>
      </c>
      <c r="BS857" t="s">
        <v>11358</v>
      </c>
      <c r="BT857" t="str">
        <f>HYPERLINK("https%3A%2F%2Fwww.webofscience.com%2Fwos%2Fwoscc%2Ffull-record%2FWOS:000073658900002","View Full Record in Web of Science")</f>
        <v>View Full Record in Web of Science</v>
      </c>
    </row>
    <row r="858" spans="1:72" x14ac:dyDescent="0.15">
      <c r="A858" t="s">
        <v>72</v>
      </c>
      <c r="B858" t="s">
        <v>11359</v>
      </c>
      <c r="C858" t="s">
        <v>74</v>
      </c>
      <c r="D858" t="s">
        <v>74</v>
      </c>
      <c r="E858" t="s">
        <v>74</v>
      </c>
      <c r="F858" t="s">
        <v>11359</v>
      </c>
      <c r="G858" t="s">
        <v>74</v>
      </c>
      <c r="H858" t="s">
        <v>74</v>
      </c>
      <c r="I858" t="s">
        <v>11360</v>
      </c>
      <c r="J858" t="s">
        <v>11361</v>
      </c>
      <c r="K858" t="s">
        <v>74</v>
      </c>
      <c r="L858" t="s">
        <v>74</v>
      </c>
      <c r="M858" t="s">
        <v>77</v>
      </c>
      <c r="N858" t="s">
        <v>103</v>
      </c>
      <c r="O858" t="s">
        <v>74</v>
      </c>
      <c r="P858" t="s">
        <v>74</v>
      </c>
      <c r="Q858" t="s">
        <v>74</v>
      </c>
      <c r="R858" t="s">
        <v>74</v>
      </c>
      <c r="S858" t="s">
        <v>74</v>
      </c>
      <c r="T858" t="s">
        <v>74</v>
      </c>
      <c r="U858" t="s">
        <v>11362</v>
      </c>
      <c r="V858" t="s">
        <v>11363</v>
      </c>
      <c r="W858" t="s">
        <v>11364</v>
      </c>
      <c r="X858" t="s">
        <v>11365</v>
      </c>
      <c r="Y858" t="s">
        <v>11366</v>
      </c>
      <c r="Z858" t="s">
        <v>74</v>
      </c>
      <c r="AA858" t="s">
        <v>11367</v>
      </c>
      <c r="AB858" t="s">
        <v>11368</v>
      </c>
      <c r="AC858" t="s">
        <v>74</v>
      </c>
      <c r="AD858" t="s">
        <v>74</v>
      </c>
      <c r="AE858" t="s">
        <v>74</v>
      </c>
      <c r="AF858" t="s">
        <v>74</v>
      </c>
      <c r="AG858">
        <v>42</v>
      </c>
      <c r="AH858">
        <v>25</v>
      </c>
      <c r="AI858">
        <v>25</v>
      </c>
      <c r="AJ858">
        <v>0</v>
      </c>
      <c r="AK858">
        <v>8</v>
      </c>
      <c r="AL858" t="s">
        <v>805</v>
      </c>
      <c r="AM858" t="s">
        <v>278</v>
      </c>
      <c r="AN858" t="s">
        <v>806</v>
      </c>
      <c r="AO858" t="s">
        <v>11369</v>
      </c>
      <c r="AP858" t="s">
        <v>74</v>
      </c>
      <c r="AQ858" t="s">
        <v>74</v>
      </c>
      <c r="AR858" t="s">
        <v>11370</v>
      </c>
      <c r="AS858" t="s">
        <v>11371</v>
      </c>
      <c r="AT858" t="s">
        <v>11304</v>
      </c>
      <c r="AU858">
        <v>1998</v>
      </c>
      <c r="AV858">
        <v>34</v>
      </c>
      <c r="AW858">
        <v>4</v>
      </c>
      <c r="AX858" t="s">
        <v>74</v>
      </c>
      <c r="AY858" t="s">
        <v>74</v>
      </c>
      <c r="AZ858" t="s">
        <v>74</v>
      </c>
      <c r="BA858" t="s">
        <v>74</v>
      </c>
      <c r="BB858">
        <v>343</v>
      </c>
      <c r="BC858">
        <v>349</v>
      </c>
      <c r="BD858" t="s">
        <v>74</v>
      </c>
      <c r="BE858" t="s">
        <v>11372</v>
      </c>
      <c r="BF858" t="str">
        <f>HYPERLINK("http://dx.doi.org/10.1007/s002449900328","http://dx.doi.org/10.1007/s002449900328")</f>
        <v>http://dx.doi.org/10.1007/s002449900328</v>
      </c>
      <c r="BG858" t="s">
        <v>74</v>
      </c>
      <c r="BH858" t="s">
        <v>74</v>
      </c>
      <c r="BI858">
        <v>7</v>
      </c>
      <c r="BJ858" t="s">
        <v>11373</v>
      </c>
      <c r="BK858" t="s">
        <v>95</v>
      </c>
      <c r="BL858" t="s">
        <v>10416</v>
      </c>
      <c r="BM858" t="s">
        <v>11374</v>
      </c>
      <c r="BN858">
        <v>9543503</v>
      </c>
      <c r="BO858" t="s">
        <v>74</v>
      </c>
      <c r="BP858" t="s">
        <v>74</v>
      </c>
      <c r="BQ858" t="s">
        <v>74</v>
      </c>
      <c r="BR858" t="s">
        <v>98</v>
      </c>
      <c r="BS858" t="s">
        <v>11375</v>
      </c>
      <c r="BT858" t="str">
        <f>HYPERLINK("https%3A%2F%2Fwww.webofscience.com%2Fwos%2Fwoscc%2Ffull-record%2FWOS:000072850500005","View Full Record in Web of Science")</f>
        <v>View Full Record in Web of Science</v>
      </c>
    </row>
    <row r="859" spans="1:72" x14ac:dyDescent="0.15">
      <c r="A859" t="s">
        <v>72</v>
      </c>
      <c r="B859" t="s">
        <v>11376</v>
      </c>
      <c r="C859" t="s">
        <v>74</v>
      </c>
      <c r="D859" t="s">
        <v>74</v>
      </c>
      <c r="E859" t="s">
        <v>74</v>
      </c>
      <c r="F859" t="s">
        <v>11376</v>
      </c>
      <c r="G859" t="s">
        <v>74</v>
      </c>
      <c r="H859" t="s">
        <v>74</v>
      </c>
      <c r="I859" t="s">
        <v>11377</v>
      </c>
      <c r="J859" t="s">
        <v>8125</v>
      </c>
      <c r="K859" t="s">
        <v>74</v>
      </c>
      <c r="L859" t="s">
        <v>74</v>
      </c>
      <c r="M859" t="s">
        <v>77</v>
      </c>
      <c r="N859" t="s">
        <v>103</v>
      </c>
      <c r="O859" t="s">
        <v>74</v>
      </c>
      <c r="P859" t="s">
        <v>74</v>
      </c>
      <c r="Q859" t="s">
        <v>74</v>
      </c>
      <c r="R859" t="s">
        <v>74</v>
      </c>
      <c r="S859" t="s">
        <v>74</v>
      </c>
      <c r="T859" t="s">
        <v>74</v>
      </c>
      <c r="U859" t="s">
        <v>11378</v>
      </c>
      <c r="V859" t="s">
        <v>11379</v>
      </c>
      <c r="W859" t="s">
        <v>11380</v>
      </c>
      <c r="X859" t="s">
        <v>11381</v>
      </c>
      <c r="Y859" t="s">
        <v>11382</v>
      </c>
      <c r="Z859" t="s">
        <v>11383</v>
      </c>
      <c r="AA859" t="s">
        <v>11384</v>
      </c>
      <c r="AB859" t="s">
        <v>11385</v>
      </c>
      <c r="AC859" t="s">
        <v>74</v>
      </c>
      <c r="AD859" t="s">
        <v>74</v>
      </c>
      <c r="AE859" t="s">
        <v>74</v>
      </c>
      <c r="AF859" t="s">
        <v>74</v>
      </c>
      <c r="AG859">
        <v>48</v>
      </c>
      <c r="AH859">
        <v>87</v>
      </c>
      <c r="AI859">
        <v>93</v>
      </c>
      <c r="AJ859">
        <v>1</v>
      </c>
      <c r="AK859">
        <v>38</v>
      </c>
      <c r="AL859" t="s">
        <v>8132</v>
      </c>
      <c r="AM859" t="s">
        <v>1021</v>
      </c>
      <c r="AN859" t="s">
        <v>8133</v>
      </c>
      <c r="AO859" t="s">
        <v>8134</v>
      </c>
      <c r="AP859" t="s">
        <v>74</v>
      </c>
      <c r="AQ859" t="s">
        <v>74</v>
      </c>
      <c r="AR859" t="s">
        <v>8135</v>
      </c>
      <c r="AS859" t="s">
        <v>8136</v>
      </c>
      <c r="AT859" t="s">
        <v>11304</v>
      </c>
      <c r="AU859">
        <v>1998</v>
      </c>
      <c r="AV859">
        <v>30</v>
      </c>
      <c r="AW859">
        <v>2</v>
      </c>
      <c r="AX859" t="s">
        <v>74</v>
      </c>
      <c r="AY859" t="s">
        <v>74</v>
      </c>
      <c r="AZ859" t="s">
        <v>74</v>
      </c>
      <c r="BA859" t="s">
        <v>74</v>
      </c>
      <c r="BB859">
        <v>133</v>
      </c>
      <c r="BC859">
        <v>141</v>
      </c>
      <c r="BD859" t="s">
        <v>74</v>
      </c>
      <c r="BE859" t="s">
        <v>11386</v>
      </c>
      <c r="BF859" t="str">
        <f>HYPERLINK("http://dx.doi.org/10.2307/1552128","http://dx.doi.org/10.2307/1552128")</f>
        <v>http://dx.doi.org/10.2307/1552128</v>
      </c>
      <c r="BG859" t="s">
        <v>74</v>
      </c>
      <c r="BH859" t="s">
        <v>74</v>
      </c>
      <c r="BI859">
        <v>9</v>
      </c>
      <c r="BJ859" t="s">
        <v>8138</v>
      </c>
      <c r="BK859" t="s">
        <v>95</v>
      </c>
      <c r="BL859" t="s">
        <v>8139</v>
      </c>
      <c r="BM859" t="s">
        <v>11387</v>
      </c>
      <c r="BN859" t="s">
        <v>74</v>
      </c>
      <c r="BO859" t="s">
        <v>74</v>
      </c>
      <c r="BP859" t="s">
        <v>74</v>
      </c>
      <c r="BQ859" t="s">
        <v>74</v>
      </c>
      <c r="BR859" t="s">
        <v>98</v>
      </c>
      <c r="BS859" t="s">
        <v>11388</v>
      </c>
      <c r="BT859" t="str">
        <f>HYPERLINK("https%3A%2F%2Fwww.webofscience.com%2Fwos%2Fwoscc%2Ffull-record%2FWOS:000073952600005","View Full Record in Web of Science")</f>
        <v>View Full Record in Web of Science</v>
      </c>
    </row>
    <row r="860" spans="1:72" x14ac:dyDescent="0.15">
      <c r="A860" t="s">
        <v>72</v>
      </c>
      <c r="B860" t="s">
        <v>11389</v>
      </c>
      <c r="C860" t="s">
        <v>74</v>
      </c>
      <c r="D860" t="s">
        <v>74</v>
      </c>
      <c r="E860" t="s">
        <v>74</v>
      </c>
      <c r="F860" t="s">
        <v>11389</v>
      </c>
      <c r="G860" t="s">
        <v>74</v>
      </c>
      <c r="H860" t="s">
        <v>74</v>
      </c>
      <c r="I860" t="s">
        <v>11390</v>
      </c>
      <c r="J860" t="s">
        <v>11391</v>
      </c>
      <c r="K860" t="s">
        <v>74</v>
      </c>
      <c r="L860" t="s">
        <v>74</v>
      </c>
      <c r="M860" t="s">
        <v>77</v>
      </c>
      <c r="N860" t="s">
        <v>103</v>
      </c>
      <c r="O860" t="s">
        <v>74</v>
      </c>
      <c r="P860" t="s">
        <v>74</v>
      </c>
      <c r="Q860" t="s">
        <v>74</v>
      </c>
      <c r="R860" t="s">
        <v>74</v>
      </c>
      <c r="S860" t="s">
        <v>74</v>
      </c>
      <c r="T860" t="s">
        <v>74</v>
      </c>
      <c r="U860" t="s">
        <v>11392</v>
      </c>
      <c r="V860" t="s">
        <v>11393</v>
      </c>
      <c r="W860" t="s">
        <v>11394</v>
      </c>
      <c r="X860" t="s">
        <v>11395</v>
      </c>
      <c r="Y860" t="s">
        <v>11396</v>
      </c>
      <c r="Z860" t="s">
        <v>74</v>
      </c>
      <c r="AA860" t="s">
        <v>74</v>
      </c>
      <c r="AB860" t="s">
        <v>74</v>
      </c>
      <c r="AC860" t="s">
        <v>74</v>
      </c>
      <c r="AD860" t="s">
        <v>74</v>
      </c>
      <c r="AE860" t="s">
        <v>74</v>
      </c>
      <c r="AF860" t="s">
        <v>74</v>
      </c>
      <c r="AG860">
        <v>42</v>
      </c>
      <c r="AH860">
        <v>17</v>
      </c>
      <c r="AI860">
        <v>18</v>
      </c>
      <c r="AJ860">
        <v>2</v>
      </c>
      <c r="AK860">
        <v>8</v>
      </c>
      <c r="AL860" t="s">
        <v>11397</v>
      </c>
      <c r="AM860" t="s">
        <v>11398</v>
      </c>
      <c r="AN860" t="s">
        <v>11399</v>
      </c>
      <c r="AO860" t="s">
        <v>11400</v>
      </c>
      <c r="AP860" t="s">
        <v>74</v>
      </c>
      <c r="AQ860" t="s">
        <v>74</v>
      </c>
      <c r="AR860" t="s">
        <v>11401</v>
      </c>
      <c r="AS860" t="s">
        <v>11402</v>
      </c>
      <c r="AT860" t="s">
        <v>11304</v>
      </c>
      <c r="AU860">
        <v>1998</v>
      </c>
      <c r="AV860">
        <v>69</v>
      </c>
      <c r="AW860">
        <v>5</v>
      </c>
      <c r="AX860" t="s">
        <v>74</v>
      </c>
      <c r="AY860" t="s">
        <v>74</v>
      </c>
      <c r="AZ860" t="s">
        <v>74</v>
      </c>
      <c r="BA860" t="s">
        <v>74</v>
      </c>
      <c r="BB860">
        <v>452</v>
      </c>
      <c r="BC860">
        <v>460</v>
      </c>
      <c r="BD860" t="s">
        <v>74</v>
      </c>
      <c r="BE860" t="s">
        <v>74</v>
      </c>
      <c r="BF860" t="s">
        <v>74</v>
      </c>
      <c r="BG860" t="s">
        <v>74</v>
      </c>
      <c r="BH860" t="s">
        <v>74</v>
      </c>
      <c r="BI860">
        <v>9</v>
      </c>
      <c r="BJ860" t="s">
        <v>11403</v>
      </c>
      <c r="BK860" t="s">
        <v>10494</v>
      </c>
      <c r="BL860" t="s">
        <v>11404</v>
      </c>
      <c r="BM860" t="s">
        <v>11405</v>
      </c>
      <c r="BN860">
        <v>9591614</v>
      </c>
      <c r="BO860" t="s">
        <v>74</v>
      </c>
      <c r="BP860" t="s">
        <v>74</v>
      </c>
      <c r="BQ860" t="s">
        <v>74</v>
      </c>
      <c r="BR860" t="s">
        <v>98</v>
      </c>
      <c r="BS860" t="s">
        <v>11406</v>
      </c>
      <c r="BT860" t="str">
        <f>HYPERLINK("https%3A%2F%2Fwww.webofscience.com%2Fwos%2Fwoscc%2Ffull-record%2FWOS:000073287400003","View Full Record in Web of Science")</f>
        <v>View Full Record in Web of Science</v>
      </c>
    </row>
    <row r="861" spans="1:72" x14ac:dyDescent="0.15">
      <c r="A861" t="s">
        <v>72</v>
      </c>
      <c r="B861" t="s">
        <v>11407</v>
      </c>
      <c r="C861" t="s">
        <v>74</v>
      </c>
      <c r="D861" t="s">
        <v>74</v>
      </c>
      <c r="E861" t="s">
        <v>74</v>
      </c>
      <c r="F861" t="s">
        <v>11407</v>
      </c>
      <c r="G861" t="s">
        <v>74</v>
      </c>
      <c r="H861" t="s">
        <v>74</v>
      </c>
      <c r="I861" t="s">
        <v>11408</v>
      </c>
      <c r="J861" t="s">
        <v>11409</v>
      </c>
      <c r="K861" t="s">
        <v>74</v>
      </c>
      <c r="L861" t="s">
        <v>74</v>
      </c>
      <c r="M861" t="s">
        <v>77</v>
      </c>
      <c r="N861" t="s">
        <v>103</v>
      </c>
      <c r="O861" t="s">
        <v>74</v>
      </c>
      <c r="P861" t="s">
        <v>74</v>
      </c>
      <c r="Q861" t="s">
        <v>74</v>
      </c>
      <c r="R861" t="s">
        <v>74</v>
      </c>
      <c r="S861" t="s">
        <v>74</v>
      </c>
      <c r="T861" t="s">
        <v>74</v>
      </c>
      <c r="U861" t="s">
        <v>11410</v>
      </c>
      <c r="V861" t="s">
        <v>11411</v>
      </c>
      <c r="W861" t="s">
        <v>11412</v>
      </c>
      <c r="X861" t="s">
        <v>11413</v>
      </c>
      <c r="Y861" t="s">
        <v>11414</v>
      </c>
      <c r="Z861" t="s">
        <v>11415</v>
      </c>
      <c r="AA861" t="s">
        <v>74</v>
      </c>
      <c r="AB861" t="s">
        <v>11416</v>
      </c>
      <c r="AC861" t="s">
        <v>74</v>
      </c>
      <c r="AD861" t="s">
        <v>74</v>
      </c>
      <c r="AE861" t="s">
        <v>74</v>
      </c>
      <c r="AF861" t="s">
        <v>74</v>
      </c>
      <c r="AG861">
        <v>85</v>
      </c>
      <c r="AH861">
        <v>38</v>
      </c>
      <c r="AI861">
        <v>44</v>
      </c>
      <c r="AJ861">
        <v>0</v>
      </c>
      <c r="AK861">
        <v>6</v>
      </c>
      <c r="AL861" t="s">
        <v>11417</v>
      </c>
      <c r="AM861" t="s">
        <v>257</v>
      </c>
      <c r="AN861" t="s">
        <v>11418</v>
      </c>
      <c r="AO861" t="s">
        <v>11419</v>
      </c>
      <c r="AP861" t="s">
        <v>74</v>
      </c>
      <c r="AQ861" t="s">
        <v>74</v>
      </c>
      <c r="AR861" t="s">
        <v>11420</v>
      </c>
      <c r="AS861" t="s">
        <v>11421</v>
      </c>
      <c r="AT861" t="s">
        <v>11304</v>
      </c>
      <c r="AU861">
        <v>1998</v>
      </c>
      <c r="AV861">
        <v>55</v>
      </c>
      <c r="AW861">
        <v>5</v>
      </c>
      <c r="AX861" t="s">
        <v>74</v>
      </c>
      <c r="AY861" t="s">
        <v>74</v>
      </c>
      <c r="AZ861" t="s">
        <v>74</v>
      </c>
      <c r="BA861" t="s">
        <v>74</v>
      </c>
      <c r="BB861">
        <v>1296</v>
      </c>
      <c r="BC861">
        <v>1306</v>
      </c>
      <c r="BD861" t="s">
        <v>74</v>
      </c>
      <c r="BE861" t="s">
        <v>11422</v>
      </c>
      <c r="BF861" t="str">
        <f>HYPERLINK("http://dx.doi.org/10.1139/cjfas-55-5-1296","http://dx.doi.org/10.1139/cjfas-55-5-1296")</f>
        <v>http://dx.doi.org/10.1139/cjfas-55-5-1296</v>
      </c>
      <c r="BG861" t="s">
        <v>74</v>
      </c>
      <c r="BH861" t="s">
        <v>74</v>
      </c>
      <c r="BI861">
        <v>11</v>
      </c>
      <c r="BJ861" t="s">
        <v>1445</v>
      </c>
      <c r="BK861" t="s">
        <v>95</v>
      </c>
      <c r="BL861" t="s">
        <v>1445</v>
      </c>
      <c r="BM861" t="s">
        <v>11423</v>
      </c>
      <c r="BN861" t="s">
        <v>74</v>
      </c>
      <c r="BO861" t="s">
        <v>74</v>
      </c>
      <c r="BP861" t="s">
        <v>74</v>
      </c>
      <c r="BQ861" t="s">
        <v>74</v>
      </c>
      <c r="BR861" t="s">
        <v>98</v>
      </c>
      <c r="BS861" t="s">
        <v>11424</v>
      </c>
      <c r="BT861" t="str">
        <f>HYPERLINK("https%3A%2F%2Fwww.webofscience.com%2Fwos%2Fwoscc%2Ffull-record%2FWOS:000075787000025","View Full Record in Web of Science")</f>
        <v>View Full Record in Web of Science</v>
      </c>
    </row>
    <row r="862" spans="1:72" x14ac:dyDescent="0.15">
      <c r="A862" t="s">
        <v>72</v>
      </c>
      <c r="B862" t="s">
        <v>11425</v>
      </c>
      <c r="C862" t="s">
        <v>74</v>
      </c>
      <c r="D862" t="s">
        <v>74</v>
      </c>
      <c r="E862" t="s">
        <v>74</v>
      </c>
      <c r="F862" t="s">
        <v>11425</v>
      </c>
      <c r="G862" t="s">
        <v>74</v>
      </c>
      <c r="H862" t="s">
        <v>74</v>
      </c>
      <c r="I862" t="s">
        <v>11426</v>
      </c>
      <c r="J862" t="s">
        <v>5194</v>
      </c>
      <c r="K862" t="s">
        <v>74</v>
      </c>
      <c r="L862" t="s">
        <v>74</v>
      </c>
      <c r="M862" t="s">
        <v>77</v>
      </c>
      <c r="N862" t="s">
        <v>103</v>
      </c>
      <c r="O862" t="s">
        <v>74</v>
      </c>
      <c r="P862" t="s">
        <v>74</v>
      </c>
      <c r="Q862" t="s">
        <v>74</v>
      </c>
      <c r="R862" t="s">
        <v>74</v>
      </c>
      <c r="S862" t="s">
        <v>74</v>
      </c>
      <c r="T862" t="s">
        <v>11427</v>
      </c>
      <c r="U862" t="s">
        <v>11428</v>
      </c>
      <c r="V862" t="s">
        <v>11429</v>
      </c>
      <c r="W862" t="s">
        <v>11430</v>
      </c>
      <c r="X862" t="s">
        <v>5004</v>
      </c>
      <c r="Y862" t="s">
        <v>11431</v>
      </c>
      <c r="Z862" t="s">
        <v>74</v>
      </c>
      <c r="AA862" t="s">
        <v>74</v>
      </c>
      <c r="AB862" t="s">
        <v>74</v>
      </c>
      <c r="AC862" t="s">
        <v>74</v>
      </c>
      <c r="AD862" t="s">
        <v>74</v>
      </c>
      <c r="AE862" t="s">
        <v>74</v>
      </c>
      <c r="AF862" t="s">
        <v>74</v>
      </c>
      <c r="AG862">
        <v>14</v>
      </c>
      <c r="AH862">
        <v>61</v>
      </c>
      <c r="AI862">
        <v>66</v>
      </c>
      <c r="AJ862">
        <v>1</v>
      </c>
      <c r="AK862">
        <v>29</v>
      </c>
      <c r="AL862" t="s">
        <v>297</v>
      </c>
      <c r="AM862" t="s">
        <v>298</v>
      </c>
      <c r="AN862" t="s">
        <v>299</v>
      </c>
      <c r="AO862" t="s">
        <v>5202</v>
      </c>
      <c r="AP862" t="s">
        <v>74</v>
      </c>
      <c r="AQ862" t="s">
        <v>74</v>
      </c>
      <c r="AR862" t="s">
        <v>5203</v>
      </c>
      <c r="AS862" t="s">
        <v>5204</v>
      </c>
      <c r="AT862" t="s">
        <v>11304</v>
      </c>
      <c r="AU862">
        <v>1998</v>
      </c>
      <c r="AV862">
        <v>43</v>
      </c>
      <c r="AW862">
        <v>9</v>
      </c>
      <c r="AX862" t="s">
        <v>74</v>
      </c>
      <c r="AY862" t="s">
        <v>74</v>
      </c>
      <c r="AZ862" t="s">
        <v>74</v>
      </c>
      <c r="BA862" t="s">
        <v>74</v>
      </c>
      <c r="BB862">
        <v>734</v>
      </c>
      <c r="BC862">
        <v>738</v>
      </c>
      <c r="BD862" t="s">
        <v>74</v>
      </c>
      <c r="BE862" t="s">
        <v>11432</v>
      </c>
      <c r="BF862" t="str">
        <f>HYPERLINK("http://dx.doi.org/10.1007/BF02898949","http://dx.doi.org/10.1007/BF02898949")</f>
        <v>http://dx.doi.org/10.1007/BF02898949</v>
      </c>
      <c r="BG862" t="s">
        <v>74</v>
      </c>
      <c r="BH862" t="s">
        <v>74</v>
      </c>
      <c r="BI862">
        <v>5</v>
      </c>
      <c r="BJ862" t="s">
        <v>3377</v>
      </c>
      <c r="BK862" t="s">
        <v>95</v>
      </c>
      <c r="BL862" t="s">
        <v>3378</v>
      </c>
      <c r="BM862" t="s">
        <v>11433</v>
      </c>
      <c r="BN862" t="s">
        <v>74</v>
      </c>
      <c r="BO862" t="s">
        <v>74</v>
      </c>
      <c r="BP862" t="s">
        <v>74</v>
      </c>
      <c r="BQ862" t="s">
        <v>74</v>
      </c>
      <c r="BR862" t="s">
        <v>98</v>
      </c>
      <c r="BS862" t="s">
        <v>11434</v>
      </c>
      <c r="BT862" t="str">
        <f>HYPERLINK("https%3A%2F%2Fwww.webofscience.com%2Fwos%2Fwoscc%2Ffull-record%2FWOS:000074483800009","View Full Record in Web of Science")</f>
        <v>View Full Record in Web of Science</v>
      </c>
    </row>
    <row r="863" spans="1:72" x14ac:dyDescent="0.15">
      <c r="A863" t="s">
        <v>72</v>
      </c>
      <c r="B863" t="s">
        <v>11435</v>
      </c>
      <c r="C863" t="s">
        <v>74</v>
      </c>
      <c r="D863" t="s">
        <v>74</v>
      </c>
      <c r="E863" t="s">
        <v>74</v>
      </c>
      <c r="F863" t="s">
        <v>11435</v>
      </c>
      <c r="G863" t="s">
        <v>74</v>
      </c>
      <c r="H863" t="s">
        <v>74</v>
      </c>
      <c r="I863" t="s">
        <v>11436</v>
      </c>
      <c r="J863" t="s">
        <v>7345</v>
      </c>
      <c r="K863" t="s">
        <v>74</v>
      </c>
      <c r="L863" t="s">
        <v>74</v>
      </c>
      <c r="M863" t="s">
        <v>77</v>
      </c>
      <c r="N863" t="s">
        <v>103</v>
      </c>
      <c r="O863" t="s">
        <v>74</v>
      </c>
      <c r="P863" t="s">
        <v>74</v>
      </c>
      <c r="Q863" t="s">
        <v>74</v>
      </c>
      <c r="R863" t="s">
        <v>74</v>
      </c>
      <c r="S863" t="s">
        <v>74</v>
      </c>
      <c r="T863" t="s">
        <v>74</v>
      </c>
      <c r="U863" t="s">
        <v>11437</v>
      </c>
      <c r="V863" t="s">
        <v>11438</v>
      </c>
      <c r="W863" t="s">
        <v>11439</v>
      </c>
      <c r="X863" t="s">
        <v>11440</v>
      </c>
      <c r="Y863" t="s">
        <v>11441</v>
      </c>
      <c r="Z863" t="s">
        <v>74</v>
      </c>
      <c r="AA863" t="s">
        <v>11442</v>
      </c>
      <c r="AB863" t="s">
        <v>11443</v>
      </c>
      <c r="AC863" t="s">
        <v>74</v>
      </c>
      <c r="AD863" t="s">
        <v>74</v>
      </c>
      <c r="AE863" t="s">
        <v>74</v>
      </c>
      <c r="AF863" t="s">
        <v>74</v>
      </c>
      <c r="AG863">
        <v>46</v>
      </c>
      <c r="AH863">
        <v>16</v>
      </c>
      <c r="AI863">
        <v>20</v>
      </c>
      <c r="AJ863">
        <v>0</v>
      </c>
      <c r="AK863">
        <v>3</v>
      </c>
      <c r="AL863" t="s">
        <v>887</v>
      </c>
      <c r="AM863" t="s">
        <v>278</v>
      </c>
      <c r="AN863" t="s">
        <v>888</v>
      </c>
      <c r="AO863" t="s">
        <v>7350</v>
      </c>
      <c r="AP863" t="s">
        <v>74</v>
      </c>
      <c r="AQ863" t="s">
        <v>74</v>
      </c>
      <c r="AR863" t="s">
        <v>7351</v>
      </c>
      <c r="AS863" t="s">
        <v>7352</v>
      </c>
      <c r="AT863" t="s">
        <v>11304</v>
      </c>
      <c r="AU863">
        <v>1998</v>
      </c>
      <c r="AV863">
        <v>14</v>
      </c>
      <c r="AW863">
        <v>5</v>
      </c>
      <c r="AX863" t="s">
        <v>74</v>
      </c>
      <c r="AY863" t="s">
        <v>74</v>
      </c>
      <c r="AZ863" t="s">
        <v>74</v>
      </c>
      <c r="BA863" t="s">
        <v>74</v>
      </c>
      <c r="BB863">
        <v>329</v>
      </c>
      <c r="BC863">
        <v>352</v>
      </c>
      <c r="BD863" t="s">
        <v>74</v>
      </c>
      <c r="BE863" t="s">
        <v>11444</v>
      </c>
      <c r="BF863" t="str">
        <f>HYPERLINK("http://dx.doi.org/10.1007/s003820050227","http://dx.doi.org/10.1007/s003820050227")</f>
        <v>http://dx.doi.org/10.1007/s003820050227</v>
      </c>
      <c r="BG863" t="s">
        <v>74</v>
      </c>
      <c r="BH863" t="s">
        <v>74</v>
      </c>
      <c r="BI863">
        <v>24</v>
      </c>
      <c r="BJ863" t="s">
        <v>1418</v>
      </c>
      <c r="BK863" t="s">
        <v>95</v>
      </c>
      <c r="BL863" t="s">
        <v>1418</v>
      </c>
      <c r="BM863" t="s">
        <v>11445</v>
      </c>
      <c r="BN863" t="s">
        <v>74</v>
      </c>
      <c r="BO863" t="s">
        <v>74</v>
      </c>
      <c r="BP863" t="s">
        <v>74</v>
      </c>
      <c r="BQ863" t="s">
        <v>74</v>
      </c>
      <c r="BR863" t="s">
        <v>98</v>
      </c>
      <c r="BS863" t="s">
        <v>11446</v>
      </c>
      <c r="BT863" t="str">
        <f>HYPERLINK("https%3A%2F%2Fwww.webofscience.com%2Fwos%2Fwoscc%2Ffull-record%2FWOS:000073614100002","View Full Record in Web of Science")</f>
        <v>View Full Record in Web of Science</v>
      </c>
    </row>
    <row r="864" spans="1:72" x14ac:dyDescent="0.15">
      <c r="A864" t="s">
        <v>72</v>
      </c>
      <c r="B864" t="s">
        <v>11447</v>
      </c>
      <c r="C864" t="s">
        <v>74</v>
      </c>
      <c r="D864" t="s">
        <v>74</v>
      </c>
      <c r="E864" t="s">
        <v>74</v>
      </c>
      <c r="F864" t="s">
        <v>11447</v>
      </c>
      <c r="G864" t="s">
        <v>74</v>
      </c>
      <c r="H864" t="s">
        <v>74</v>
      </c>
      <c r="I864" t="s">
        <v>11448</v>
      </c>
      <c r="J864" t="s">
        <v>11449</v>
      </c>
      <c r="K864" t="s">
        <v>74</v>
      </c>
      <c r="L864" t="s">
        <v>74</v>
      </c>
      <c r="M864" t="s">
        <v>77</v>
      </c>
      <c r="N864" t="s">
        <v>103</v>
      </c>
      <c r="O864" t="s">
        <v>74</v>
      </c>
      <c r="P864" t="s">
        <v>74</v>
      </c>
      <c r="Q864" t="s">
        <v>74</v>
      </c>
      <c r="R864" t="s">
        <v>74</v>
      </c>
      <c r="S864" t="s">
        <v>74</v>
      </c>
      <c r="T864" t="s">
        <v>74</v>
      </c>
      <c r="U864" t="s">
        <v>4065</v>
      </c>
      <c r="V864" t="s">
        <v>11450</v>
      </c>
      <c r="W864" t="s">
        <v>11451</v>
      </c>
      <c r="X864" t="s">
        <v>459</v>
      </c>
      <c r="Y864" t="s">
        <v>11452</v>
      </c>
      <c r="Z864" t="s">
        <v>74</v>
      </c>
      <c r="AA864" t="s">
        <v>74</v>
      </c>
      <c r="AB864" t="s">
        <v>74</v>
      </c>
      <c r="AC864" t="s">
        <v>74</v>
      </c>
      <c r="AD864" t="s">
        <v>74</v>
      </c>
      <c r="AE864" t="s">
        <v>74</v>
      </c>
      <c r="AF864" t="s">
        <v>74</v>
      </c>
      <c r="AG864">
        <v>20</v>
      </c>
      <c r="AH864">
        <v>9</v>
      </c>
      <c r="AI864">
        <v>10</v>
      </c>
      <c r="AJ864">
        <v>0</v>
      </c>
      <c r="AK864">
        <v>2</v>
      </c>
      <c r="AL864" t="s">
        <v>9739</v>
      </c>
      <c r="AM864" t="s">
        <v>278</v>
      </c>
      <c r="AN864" t="s">
        <v>9740</v>
      </c>
      <c r="AO864" t="s">
        <v>11453</v>
      </c>
      <c r="AP864" t="s">
        <v>74</v>
      </c>
      <c r="AQ864" t="s">
        <v>74</v>
      </c>
      <c r="AR864" t="s">
        <v>11454</v>
      </c>
      <c r="AS864" t="s">
        <v>11455</v>
      </c>
      <c r="AT864" t="s">
        <v>11304</v>
      </c>
      <c r="AU864">
        <v>1998</v>
      </c>
      <c r="AV864">
        <v>31</v>
      </c>
      <c r="AW864">
        <v>5</v>
      </c>
      <c r="AX864" t="s">
        <v>74</v>
      </c>
      <c r="AY864" t="s">
        <v>74</v>
      </c>
      <c r="AZ864" t="s">
        <v>74</v>
      </c>
      <c r="BA864" t="s">
        <v>74</v>
      </c>
      <c r="BB864">
        <v>477</v>
      </c>
      <c r="BC864">
        <v>485</v>
      </c>
      <c r="BD864" t="s">
        <v>74</v>
      </c>
      <c r="BE864" t="s">
        <v>74</v>
      </c>
      <c r="BF864" t="s">
        <v>74</v>
      </c>
      <c r="BG864" t="s">
        <v>74</v>
      </c>
      <c r="BH864" t="s">
        <v>74</v>
      </c>
      <c r="BI864">
        <v>9</v>
      </c>
      <c r="BJ864" t="s">
        <v>94</v>
      </c>
      <c r="BK864" t="s">
        <v>95</v>
      </c>
      <c r="BL864" t="s">
        <v>96</v>
      </c>
      <c r="BM864" t="s">
        <v>11456</v>
      </c>
      <c r="BN864" t="s">
        <v>74</v>
      </c>
      <c r="BO864" t="s">
        <v>74</v>
      </c>
      <c r="BP864" t="s">
        <v>74</v>
      </c>
      <c r="BQ864" t="s">
        <v>74</v>
      </c>
      <c r="BR864" t="s">
        <v>98</v>
      </c>
      <c r="BS864" t="s">
        <v>11457</v>
      </c>
      <c r="BT864" t="str">
        <f>HYPERLINK("https%3A%2F%2Fwww.webofscience.com%2Fwos%2Fwoscc%2Ffull-record%2FWOS:000073714700002","View Full Record in Web of Science")</f>
        <v>View Full Record in Web of Science</v>
      </c>
    </row>
    <row r="865" spans="1:72" x14ac:dyDescent="0.15">
      <c r="A865" t="s">
        <v>72</v>
      </c>
      <c r="B865" t="s">
        <v>11458</v>
      </c>
      <c r="C865" t="s">
        <v>74</v>
      </c>
      <c r="D865" t="s">
        <v>74</v>
      </c>
      <c r="E865" t="s">
        <v>74</v>
      </c>
      <c r="F865" t="s">
        <v>11458</v>
      </c>
      <c r="G865" t="s">
        <v>74</v>
      </c>
      <c r="H865" t="s">
        <v>74</v>
      </c>
      <c r="I865" t="s">
        <v>11459</v>
      </c>
      <c r="J865" t="s">
        <v>11449</v>
      </c>
      <c r="K865" t="s">
        <v>74</v>
      </c>
      <c r="L865" t="s">
        <v>74</v>
      </c>
      <c r="M865" t="s">
        <v>77</v>
      </c>
      <c r="N865" t="s">
        <v>103</v>
      </c>
      <c r="O865" t="s">
        <v>74</v>
      </c>
      <c r="P865" t="s">
        <v>74</v>
      </c>
      <c r="Q865" t="s">
        <v>74</v>
      </c>
      <c r="R865" t="s">
        <v>74</v>
      </c>
      <c r="S865" t="s">
        <v>74</v>
      </c>
      <c r="T865" t="s">
        <v>74</v>
      </c>
      <c r="U865" t="s">
        <v>74</v>
      </c>
      <c r="V865" t="s">
        <v>11460</v>
      </c>
      <c r="W865" t="s">
        <v>11461</v>
      </c>
      <c r="X865" t="s">
        <v>11462</v>
      </c>
      <c r="Y865" t="s">
        <v>11463</v>
      </c>
      <c r="Z865" t="s">
        <v>74</v>
      </c>
      <c r="AA865" t="s">
        <v>11464</v>
      </c>
      <c r="AB865" t="s">
        <v>74</v>
      </c>
      <c r="AC865" t="s">
        <v>74</v>
      </c>
      <c r="AD865" t="s">
        <v>74</v>
      </c>
      <c r="AE865" t="s">
        <v>74</v>
      </c>
      <c r="AF865" t="s">
        <v>74</v>
      </c>
      <c r="AG865">
        <v>8</v>
      </c>
      <c r="AH865">
        <v>9</v>
      </c>
      <c r="AI865">
        <v>9</v>
      </c>
      <c r="AJ865">
        <v>0</v>
      </c>
      <c r="AK865">
        <v>2</v>
      </c>
      <c r="AL865" t="s">
        <v>11465</v>
      </c>
      <c r="AM865" t="s">
        <v>278</v>
      </c>
      <c r="AN865" t="s">
        <v>11466</v>
      </c>
      <c r="AO865" t="s">
        <v>11453</v>
      </c>
      <c r="AP865" t="s">
        <v>11467</v>
      </c>
      <c r="AQ865" t="s">
        <v>74</v>
      </c>
      <c r="AR865" t="s">
        <v>11454</v>
      </c>
      <c r="AS865" t="s">
        <v>11455</v>
      </c>
      <c r="AT865" t="s">
        <v>11304</v>
      </c>
      <c r="AU865">
        <v>1998</v>
      </c>
      <c r="AV865">
        <v>31</v>
      </c>
      <c r="AW865">
        <v>5</v>
      </c>
      <c r="AX865" t="s">
        <v>74</v>
      </c>
      <c r="AY865" t="s">
        <v>74</v>
      </c>
      <c r="AZ865" t="s">
        <v>74</v>
      </c>
      <c r="BA865" t="s">
        <v>74</v>
      </c>
      <c r="BB865">
        <v>542</v>
      </c>
      <c r="BC865">
        <v>546</v>
      </c>
      <c r="BD865" t="s">
        <v>74</v>
      </c>
      <c r="BE865" t="s">
        <v>74</v>
      </c>
      <c r="BF865" t="s">
        <v>74</v>
      </c>
      <c r="BG865" t="s">
        <v>74</v>
      </c>
      <c r="BH865" t="s">
        <v>74</v>
      </c>
      <c r="BI865">
        <v>5</v>
      </c>
      <c r="BJ865" t="s">
        <v>94</v>
      </c>
      <c r="BK865" t="s">
        <v>95</v>
      </c>
      <c r="BL865" t="s">
        <v>96</v>
      </c>
      <c r="BM865" t="s">
        <v>11456</v>
      </c>
      <c r="BN865" t="s">
        <v>74</v>
      </c>
      <c r="BO865" t="s">
        <v>74</v>
      </c>
      <c r="BP865" t="s">
        <v>74</v>
      </c>
      <c r="BQ865" t="s">
        <v>74</v>
      </c>
      <c r="BR865" t="s">
        <v>98</v>
      </c>
      <c r="BS865" t="s">
        <v>11468</v>
      </c>
      <c r="BT865" t="str">
        <f>HYPERLINK("https%3A%2F%2Fwww.webofscience.com%2Fwos%2Fwoscc%2Ffull-record%2FWOS:000073714700010","View Full Record in Web of Science")</f>
        <v>View Full Record in Web of Science</v>
      </c>
    </row>
    <row r="866" spans="1:72" x14ac:dyDescent="0.15">
      <c r="A866" t="s">
        <v>72</v>
      </c>
      <c r="B866" t="s">
        <v>11469</v>
      </c>
      <c r="C866" t="s">
        <v>74</v>
      </c>
      <c r="D866" t="s">
        <v>74</v>
      </c>
      <c r="E866" t="s">
        <v>74</v>
      </c>
      <c r="F866" t="s">
        <v>11469</v>
      </c>
      <c r="G866" t="s">
        <v>74</v>
      </c>
      <c r="H866" t="s">
        <v>74</v>
      </c>
      <c r="I866" t="s">
        <v>11470</v>
      </c>
      <c r="J866" t="s">
        <v>11471</v>
      </c>
      <c r="K866" t="s">
        <v>74</v>
      </c>
      <c r="L866" t="s">
        <v>74</v>
      </c>
      <c r="M866" t="s">
        <v>77</v>
      </c>
      <c r="N866" t="s">
        <v>103</v>
      </c>
      <c r="O866" t="s">
        <v>74</v>
      </c>
      <c r="P866" t="s">
        <v>74</v>
      </c>
      <c r="Q866" t="s">
        <v>74</v>
      </c>
      <c r="R866" t="s">
        <v>74</v>
      </c>
      <c r="S866" t="s">
        <v>74</v>
      </c>
      <c r="T866" t="s">
        <v>11472</v>
      </c>
      <c r="U866" t="s">
        <v>11473</v>
      </c>
      <c r="V866" t="s">
        <v>11474</v>
      </c>
      <c r="W866" t="s">
        <v>11475</v>
      </c>
      <c r="X866" t="s">
        <v>11476</v>
      </c>
      <c r="Y866" t="s">
        <v>11477</v>
      </c>
      <c r="Z866" t="s">
        <v>74</v>
      </c>
      <c r="AA866" t="s">
        <v>11478</v>
      </c>
      <c r="AB866" t="s">
        <v>11479</v>
      </c>
      <c r="AC866" t="s">
        <v>74</v>
      </c>
      <c r="AD866" t="s">
        <v>74</v>
      </c>
      <c r="AE866" t="s">
        <v>74</v>
      </c>
      <c r="AF866" t="s">
        <v>74</v>
      </c>
      <c r="AG866">
        <v>66</v>
      </c>
      <c r="AH866">
        <v>69</v>
      </c>
      <c r="AI866">
        <v>76</v>
      </c>
      <c r="AJ866">
        <v>0</v>
      </c>
      <c r="AK866">
        <v>14</v>
      </c>
      <c r="AL866" t="s">
        <v>948</v>
      </c>
      <c r="AM866" t="s">
        <v>278</v>
      </c>
      <c r="AN866" t="s">
        <v>949</v>
      </c>
      <c r="AO866" t="s">
        <v>11480</v>
      </c>
      <c r="AP866" t="s">
        <v>74</v>
      </c>
      <c r="AQ866" t="s">
        <v>74</v>
      </c>
      <c r="AR866" t="s">
        <v>11481</v>
      </c>
      <c r="AS866" t="s">
        <v>11482</v>
      </c>
      <c r="AT866" t="s">
        <v>11304</v>
      </c>
      <c r="AU866">
        <v>1998</v>
      </c>
      <c r="AV866">
        <v>33</v>
      </c>
      <c r="AW866">
        <v>2</v>
      </c>
      <c r="AX866" t="s">
        <v>74</v>
      </c>
      <c r="AY866" t="s">
        <v>74</v>
      </c>
      <c r="AZ866" t="s">
        <v>74</v>
      </c>
      <c r="BA866" t="s">
        <v>74</v>
      </c>
      <c r="BB866">
        <v>95</v>
      </c>
      <c r="BC866">
        <v>111</v>
      </c>
      <c r="BD866" t="s">
        <v>74</v>
      </c>
      <c r="BE866" t="s">
        <v>11483</v>
      </c>
      <c r="BF866" t="str">
        <f>HYPERLINK("http://dx.doi.org/10.1080/09670269810001736593","http://dx.doi.org/10.1080/09670269810001736593")</f>
        <v>http://dx.doi.org/10.1080/09670269810001736593</v>
      </c>
      <c r="BG866" t="s">
        <v>74</v>
      </c>
      <c r="BH866" t="s">
        <v>74</v>
      </c>
      <c r="BI866">
        <v>17</v>
      </c>
      <c r="BJ866" t="s">
        <v>4413</v>
      </c>
      <c r="BK866" t="s">
        <v>95</v>
      </c>
      <c r="BL866" t="s">
        <v>4413</v>
      </c>
      <c r="BM866" t="s">
        <v>11484</v>
      </c>
      <c r="BN866" t="s">
        <v>74</v>
      </c>
      <c r="BO866" t="s">
        <v>1089</v>
      </c>
      <c r="BP866" t="s">
        <v>74</v>
      </c>
      <c r="BQ866" t="s">
        <v>74</v>
      </c>
      <c r="BR866" t="s">
        <v>98</v>
      </c>
      <c r="BS866" t="s">
        <v>11485</v>
      </c>
      <c r="BT866" t="str">
        <f>HYPERLINK("https%3A%2F%2Fwww.webofscience.com%2Fwos%2Fwoscc%2Ffull-record%2FWOS:000074923500001","View Full Record in Web of Science")</f>
        <v>View Full Record in Web of Science</v>
      </c>
    </row>
    <row r="867" spans="1:72" x14ac:dyDescent="0.15">
      <c r="A867" t="s">
        <v>72</v>
      </c>
      <c r="B867" t="s">
        <v>11486</v>
      </c>
      <c r="C867" t="s">
        <v>74</v>
      </c>
      <c r="D867" t="s">
        <v>74</v>
      </c>
      <c r="E867" t="s">
        <v>74</v>
      </c>
      <c r="F867" t="s">
        <v>11486</v>
      </c>
      <c r="G867" t="s">
        <v>74</v>
      </c>
      <c r="H867" t="s">
        <v>74</v>
      </c>
      <c r="I867" t="s">
        <v>11487</v>
      </c>
      <c r="J867" t="s">
        <v>11488</v>
      </c>
      <c r="K867" t="s">
        <v>74</v>
      </c>
      <c r="L867" t="s">
        <v>74</v>
      </c>
      <c r="M867" t="s">
        <v>77</v>
      </c>
      <c r="N867" t="s">
        <v>103</v>
      </c>
      <c r="O867" t="s">
        <v>74</v>
      </c>
      <c r="P867" t="s">
        <v>74</v>
      </c>
      <c r="Q867" t="s">
        <v>74</v>
      </c>
      <c r="R867" t="s">
        <v>74</v>
      </c>
      <c r="S867" t="s">
        <v>74</v>
      </c>
      <c r="T867" t="s">
        <v>11489</v>
      </c>
      <c r="U867" t="s">
        <v>11490</v>
      </c>
      <c r="V867" t="s">
        <v>11491</v>
      </c>
      <c r="W867" t="s">
        <v>2222</v>
      </c>
      <c r="X867" t="s">
        <v>2223</v>
      </c>
      <c r="Y867" t="s">
        <v>11492</v>
      </c>
      <c r="Z867" t="s">
        <v>74</v>
      </c>
      <c r="AA867" t="s">
        <v>11493</v>
      </c>
      <c r="AB867" t="s">
        <v>74</v>
      </c>
      <c r="AC867" t="s">
        <v>74</v>
      </c>
      <c r="AD867" t="s">
        <v>74</v>
      </c>
      <c r="AE867" t="s">
        <v>74</v>
      </c>
      <c r="AF867" t="s">
        <v>74</v>
      </c>
      <c r="AG867">
        <v>19</v>
      </c>
      <c r="AH867">
        <v>24</v>
      </c>
      <c r="AI867">
        <v>24</v>
      </c>
      <c r="AJ867">
        <v>0</v>
      </c>
      <c r="AK867">
        <v>8</v>
      </c>
      <c r="AL867" t="s">
        <v>11494</v>
      </c>
      <c r="AM867" t="s">
        <v>1121</v>
      </c>
      <c r="AN867" t="s">
        <v>11495</v>
      </c>
      <c r="AO867" t="s">
        <v>11496</v>
      </c>
      <c r="AP867" t="s">
        <v>74</v>
      </c>
      <c r="AQ867" t="s">
        <v>74</v>
      </c>
      <c r="AR867" t="s">
        <v>11497</v>
      </c>
      <c r="AS867" t="s">
        <v>11498</v>
      </c>
      <c r="AT867" t="s">
        <v>11304</v>
      </c>
      <c r="AU867">
        <v>1998</v>
      </c>
      <c r="AV867">
        <v>8</v>
      </c>
      <c r="AW867">
        <v>4</v>
      </c>
      <c r="AX867" t="s">
        <v>74</v>
      </c>
      <c r="AY867" t="s">
        <v>74</v>
      </c>
      <c r="AZ867" t="s">
        <v>74</v>
      </c>
      <c r="BA867" t="s">
        <v>74</v>
      </c>
      <c r="BB867">
        <v>295</v>
      </c>
      <c r="BC867">
        <v>302</v>
      </c>
      <c r="BD867" t="s">
        <v>74</v>
      </c>
      <c r="BE867" t="s">
        <v>11499</v>
      </c>
      <c r="BF867" t="str">
        <f>HYPERLINK("http://dx.doi.org/10.1006/fsim.1998.0140","http://dx.doi.org/10.1006/fsim.1998.0140")</f>
        <v>http://dx.doi.org/10.1006/fsim.1998.0140</v>
      </c>
      <c r="BG867" t="s">
        <v>74</v>
      </c>
      <c r="BH867" t="s">
        <v>74</v>
      </c>
      <c r="BI867">
        <v>8</v>
      </c>
      <c r="BJ867" t="s">
        <v>11500</v>
      </c>
      <c r="BK867" t="s">
        <v>95</v>
      </c>
      <c r="BL867" t="s">
        <v>11500</v>
      </c>
      <c r="BM867" t="s">
        <v>11501</v>
      </c>
      <c r="BN867" t="s">
        <v>74</v>
      </c>
      <c r="BO867" t="s">
        <v>74</v>
      </c>
      <c r="BP867" t="s">
        <v>74</v>
      </c>
      <c r="BQ867" t="s">
        <v>74</v>
      </c>
      <c r="BR867" t="s">
        <v>98</v>
      </c>
      <c r="BS867" t="s">
        <v>11502</v>
      </c>
      <c r="BT867" t="str">
        <f>HYPERLINK("https%3A%2F%2Fwww.webofscience.com%2Fwos%2Fwoscc%2Ffull-record%2FWOS:000074047600006","View Full Record in Web of Science")</f>
        <v>View Full Record in Web of Science</v>
      </c>
    </row>
    <row r="868" spans="1:72" x14ac:dyDescent="0.15">
      <c r="A868" t="s">
        <v>72</v>
      </c>
      <c r="B868" t="s">
        <v>11503</v>
      </c>
      <c r="C868" t="s">
        <v>74</v>
      </c>
      <c r="D868" t="s">
        <v>74</v>
      </c>
      <c r="E868" t="s">
        <v>74</v>
      </c>
      <c r="F868" t="s">
        <v>11503</v>
      </c>
      <c r="G868" t="s">
        <v>74</v>
      </c>
      <c r="H868" t="s">
        <v>74</v>
      </c>
      <c r="I868" t="s">
        <v>11504</v>
      </c>
      <c r="J868" t="s">
        <v>879</v>
      </c>
      <c r="K868" t="s">
        <v>74</v>
      </c>
      <c r="L868" t="s">
        <v>74</v>
      </c>
      <c r="M868" t="s">
        <v>77</v>
      </c>
      <c r="N868" t="s">
        <v>103</v>
      </c>
      <c r="O868" t="s">
        <v>74</v>
      </c>
      <c r="P868" t="s">
        <v>74</v>
      </c>
      <c r="Q868" t="s">
        <v>74</v>
      </c>
      <c r="R868" t="s">
        <v>74</v>
      </c>
      <c r="S868" t="s">
        <v>74</v>
      </c>
      <c r="T868" t="s">
        <v>74</v>
      </c>
      <c r="U868" t="s">
        <v>11505</v>
      </c>
      <c r="V868" t="s">
        <v>11506</v>
      </c>
      <c r="W868" t="s">
        <v>11507</v>
      </c>
      <c r="X868" t="s">
        <v>11508</v>
      </c>
      <c r="Y868" t="s">
        <v>11509</v>
      </c>
      <c r="Z868" t="s">
        <v>74</v>
      </c>
      <c r="AA868" t="s">
        <v>74</v>
      </c>
      <c r="AB868" t="s">
        <v>11510</v>
      </c>
      <c r="AC868" t="s">
        <v>74</v>
      </c>
      <c r="AD868" t="s">
        <v>74</v>
      </c>
      <c r="AE868" t="s">
        <v>74</v>
      </c>
      <c r="AF868" t="s">
        <v>74</v>
      </c>
      <c r="AG868">
        <v>18</v>
      </c>
      <c r="AH868">
        <v>8</v>
      </c>
      <c r="AI868">
        <v>8</v>
      </c>
      <c r="AJ868">
        <v>0</v>
      </c>
      <c r="AK868">
        <v>0</v>
      </c>
      <c r="AL868" t="s">
        <v>887</v>
      </c>
      <c r="AM868" t="s">
        <v>278</v>
      </c>
      <c r="AN868" t="s">
        <v>888</v>
      </c>
      <c r="AO868" t="s">
        <v>889</v>
      </c>
      <c r="AP868" t="s">
        <v>74</v>
      </c>
      <c r="AQ868" t="s">
        <v>74</v>
      </c>
      <c r="AR868" t="s">
        <v>890</v>
      </c>
      <c r="AS868" t="s">
        <v>891</v>
      </c>
      <c r="AT868" t="s">
        <v>11304</v>
      </c>
      <c r="AU868">
        <v>1998</v>
      </c>
      <c r="AV868">
        <v>18</v>
      </c>
      <c r="AW868">
        <v>1</v>
      </c>
      <c r="AX868" t="s">
        <v>74</v>
      </c>
      <c r="AY868" t="s">
        <v>74</v>
      </c>
      <c r="AZ868" t="s">
        <v>74</v>
      </c>
      <c r="BA868" t="s">
        <v>74</v>
      </c>
      <c r="BB868">
        <v>19</v>
      </c>
      <c r="BC868">
        <v>25</v>
      </c>
      <c r="BD868" t="s">
        <v>74</v>
      </c>
      <c r="BE868" t="s">
        <v>11511</v>
      </c>
      <c r="BF868" t="str">
        <f>HYPERLINK("http://dx.doi.org/10.1007/s003670050047","http://dx.doi.org/10.1007/s003670050047")</f>
        <v>http://dx.doi.org/10.1007/s003670050047</v>
      </c>
      <c r="BG868" t="s">
        <v>74</v>
      </c>
      <c r="BH868" t="s">
        <v>74</v>
      </c>
      <c r="BI868">
        <v>7</v>
      </c>
      <c r="BJ868" t="s">
        <v>893</v>
      </c>
      <c r="BK868" t="s">
        <v>95</v>
      </c>
      <c r="BL868" t="s">
        <v>894</v>
      </c>
      <c r="BM868" t="s">
        <v>11512</v>
      </c>
      <c r="BN868" t="s">
        <v>74</v>
      </c>
      <c r="BO868" t="s">
        <v>483</v>
      </c>
      <c r="BP868" t="s">
        <v>74</v>
      </c>
      <c r="BQ868" t="s">
        <v>74</v>
      </c>
      <c r="BR868" t="s">
        <v>98</v>
      </c>
      <c r="BS868" t="s">
        <v>11513</v>
      </c>
      <c r="BT868" t="str">
        <f>HYPERLINK("https%3A%2F%2Fwww.webofscience.com%2Fwos%2Fwoscc%2Ffull-record%2FWOS:000073955000003","View Full Record in Web of Science")</f>
        <v>View Full Record in Web of Science</v>
      </c>
    </row>
    <row r="869" spans="1:72" x14ac:dyDescent="0.15">
      <c r="A869" t="s">
        <v>72</v>
      </c>
      <c r="B869" t="s">
        <v>11514</v>
      </c>
      <c r="C869" t="s">
        <v>74</v>
      </c>
      <c r="D869" t="s">
        <v>74</v>
      </c>
      <c r="E869" t="s">
        <v>74</v>
      </c>
      <c r="F869" t="s">
        <v>11514</v>
      </c>
      <c r="G869" t="s">
        <v>74</v>
      </c>
      <c r="H869" t="s">
        <v>74</v>
      </c>
      <c r="I869" t="s">
        <v>11515</v>
      </c>
      <c r="J869" t="s">
        <v>7473</v>
      </c>
      <c r="K869" t="s">
        <v>74</v>
      </c>
      <c r="L869" t="s">
        <v>74</v>
      </c>
      <c r="M869" t="s">
        <v>77</v>
      </c>
      <c r="N869" t="s">
        <v>103</v>
      </c>
      <c r="O869" t="s">
        <v>74</v>
      </c>
      <c r="P869" t="s">
        <v>74</v>
      </c>
      <c r="Q869" t="s">
        <v>74</v>
      </c>
      <c r="R869" t="s">
        <v>74</v>
      </c>
      <c r="S869" t="s">
        <v>74</v>
      </c>
      <c r="T869" t="s">
        <v>74</v>
      </c>
      <c r="U869" t="s">
        <v>11516</v>
      </c>
      <c r="V869" t="s">
        <v>11517</v>
      </c>
      <c r="W869" t="s">
        <v>11518</v>
      </c>
      <c r="X869" t="s">
        <v>7579</v>
      </c>
      <c r="Y869" t="s">
        <v>11519</v>
      </c>
      <c r="Z869" t="s">
        <v>11520</v>
      </c>
      <c r="AA869" t="s">
        <v>74</v>
      </c>
      <c r="AB869" t="s">
        <v>74</v>
      </c>
      <c r="AC869" t="s">
        <v>74</v>
      </c>
      <c r="AD869" t="s">
        <v>74</v>
      </c>
      <c r="AE869" t="s">
        <v>74</v>
      </c>
      <c r="AF869" t="s">
        <v>74</v>
      </c>
      <c r="AG869">
        <v>81</v>
      </c>
      <c r="AH869">
        <v>12</v>
      </c>
      <c r="AI869">
        <v>15</v>
      </c>
      <c r="AJ869">
        <v>0</v>
      </c>
      <c r="AK869">
        <v>21</v>
      </c>
      <c r="AL869" t="s">
        <v>445</v>
      </c>
      <c r="AM869" t="s">
        <v>229</v>
      </c>
      <c r="AN869" t="s">
        <v>446</v>
      </c>
      <c r="AO869" t="s">
        <v>7481</v>
      </c>
      <c r="AP869" t="s">
        <v>74</v>
      </c>
      <c r="AQ869" t="s">
        <v>74</v>
      </c>
      <c r="AR869" t="s">
        <v>7482</v>
      </c>
      <c r="AS869" t="s">
        <v>7483</v>
      </c>
      <c r="AT869" t="s">
        <v>11304</v>
      </c>
      <c r="AU869">
        <v>1998</v>
      </c>
      <c r="AV869">
        <v>62</v>
      </c>
      <c r="AW869">
        <v>9</v>
      </c>
      <c r="AX869" t="s">
        <v>74</v>
      </c>
      <c r="AY869" t="s">
        <v>74</v>
      </c>
      <c r="AZ869" t="s">
        <v>74</v>
      </c>
      <c r="BA869" t="s">
        <v>74</v>
      </c>
      <c r="BB869">
        <v>1545</v>
      </c>
      <c r="BC869">
        <v>1554</v>
      </c>
      <c r="BD869" t="s">
        <v>74</v>
      </c>
      <c r="BE869" t="s">
        <v>11521</v>
      </c>
      <c r="BF869" t="str">
        <f>HYPERLINK("http://dx.doi.org/10.1016/S0016-7037(98)00051-9","http://dx.doi.org/10.1016/S0016-7037(98)00051-9")</f>
        <v>http://dx.doi.org/10.1016/S0016-7037(98)00051-9</v>
      </c>
      <c r="BG869" t="s">
        <v>74</v>
      </c>
      <c r="BH869" t="s">
        <v>74</v>
      </c>
      <c r="BI869">
        <v>10</v>
      </c>
      <c r="BJ869" t="s">
        <v>303</v>
      </c>
      <c r="BK869" t="s">
        <v>95</v>
      </c>
      <c r="BL869" t="s">
        <v>303</v>
      </c>
      <c r="BM869" t="s">
        <v>11522</v>
      </c>
      <c r="BN869" t="s">
        <v>74</v>
      </c>
      <c r="BO869" t="s">
        <v>74</v>
      </c>
      <c r="BP869" t="s">
        <v>74</v>
      </c>
      <c r="BQ869" t="s">
        <v>74</v>
      </c>
      <c r="BR869" t="s">
        <v>98</v>
      </c>
      <c r="BS869" t="s">
        <v>11523</v>
      </c>
      <c r="BT869" t="str">
        <f>HYPERLINK("https%3A%2F%2Fwww.webofscience.com%2Fwos%2Fwoscc%2Ffull-record%2FWOS:000074581600008","View Full Record in Web of Science")</f>
        <v>View Full Record in Web of Science</v>
      </c>
    </row>
    <row r="870" spans="1:72" x14ac:dyDescent="0.15">
      <c r="A870" t="s">
        <v>72</v>
      </c>
      <c r="B870" t="s">
        <v>11524</v>
      </c>
      <c r="C870" t="s">
        <v>74</v>
      </c>
      <c r="D870" t="s">
        <v>74</v>
      </c>
      <c r="E870" t="s">
        <v>74</v>
      </c>
      <c r="F870" t="s">
        <v>11524</v>
      </c>
      <c r="G870" t="s">
        <v>74</v>
      </c>
      <c r="H870" t="s">
        <v>74</v>
      </c>
      <c r="I870" t="s">
        <v>11525</v>
      </c>
      <c r="J870" t="s">
        <v>11526</v>
      </c>
      <c r="K870" t="s">
        <v>74</v>
      </c>
      <c r="L870" t="s">
        <v>74</v>
      </c>
      <c r="M870" t="s">
        <v>2510</v>
      </c>
      <c r="N870" t="s">
        <v>103</v>
      </c>
      <c r="O870" t="s">
        <v>74</v>
      </c>
      <c r="P870" t="s">
        <v>74</v>
      </c>
      <c r="Q870" t="s">
        <v>74</v>
      </c>
      <c r="R870" t="s">
        <v>74</v>
      </c>
      <c r="S870" t="s">
        <v>74</v>
      </c>
      <c r="T870" t="s">
        <v>74</v>
      </c>
      <c r="U870" t="s">
        <v>74</v>
      </c>
      <c r="V870" t="s">
        <v>74</v>
      </c>
      <c r="W870" t="s">
        <v>3105</v>
      </c>
      <c r="X870" t="s">
        <v>577</v>
      </c>
      <c r="Y870" t="s">
        <v>11527</v>
      </c>
      <c r="Z870" t="s">
        <v>74</v>
      </c>
      <c r="AA870" t="s">
        <v>74</v>
      </c>
      <c r="AB870" t="s">
        <v>74</v>
      </c>
      <c r="AC870" t="s">
        <v>74</v>
      </c>
      <c r="AD870" t="s">
        <v>74</v>
      </c>
      <c r="AE870" t="s">
        <v>74</v>
      </c>
      <c r="AF870" t="s">
        <v>74</v>
      </c>
      <c r="AG870">
        <v>5</v>
      </c>
      <c r="AH870">
        <v>6</v>
      </c>
      <c r="AI870">
        <v>6</v>
      </c>
      <c r="AJ870">
        <v>0</v>
      </c>
      <c r="AK870">
        <v>0</v>
      </c>
      <c r="AL870" t="s">
        <v>2517</v>
      </c>
      <c r="AM870" t="s">
        <v>2518</v>
      </c>
      <c r="AN870" t="s">
        <v>2519</v>
      </c>
      <c r="AO870" t="s">
        <v>11528</v>
      </c>
      <c r="AP870" t="s">
        <v>74</v>
      </c>
      <c r="AQ870" t="s">
        <v>74</v>
      </c>
      <c r="AR870" t="s">
        <v>11529</v>
      </c>
      <c r="AS870" t="s">
        <v>11530</v>
      </c>
      <c r="AT870" t="s">
        <v>11320</v>
      </c>
      <c r="AU870">
        <v>1998</v>
      </c>
      <c r="AV870">
        <v>38</v>
      </c>
      <c r="AW870">
        <v>3</v>
      </c>
      <c r="AX870" t="s">
        <v>74</v>
      </c>
      <c r="AY870" t="s">
        <v>74</v>
      </c>
      <c r="AZ870" t="s">
        <v>74</v>
      </c>
      <c r="BA870" t="s">
        <v>74</v>
      </c>
      <c r="BB870">
        <v>159</v>
      </c>
      <c r="BC870">
        <v>162</v>
      </c>
      <c r="BD870" t="s">
        <v>74</v>
      </c>
      <c r="BE870" t="s">
        <v>74</v>
      </c>
      <c r="BF870" t="s">
        <v>74</v>
      </c>
      <c r="BG870" t="s">
        <v>74</v>
      </c>
      <c r="BH870" t="s">
        <v>74</v>
      </c>
      <c r="BI870">
        <v>4</v>
      </c>
      <c r="BJ870" t="s">
        <v>303</v>
      </c>
      <c r="BK870" t="s">
        <v>95</v>
      </c>
      <c r="BL870" t="s">
        <v>303</v>
      </c>
      <c r="BM870" t="s">
        <v>11531</v>
      </c>
      <c r="BN870" t="s">
        <v>74</v>
      </c>
      <c r="BO870" t="s">
        <v>74</v>
      </c>
      <c r="BP870" t="s">
        <v>74</v>
      </c>
      <c r="BQ870" t="s">
        <v>74</v>
      </c>
      <c r="BR870" t="s">
        <v>98</v>
      </c>
      <c r="BS870" t="s">
        <v>11532</v>
      </c>
      <c r="BT870" t="str">
        <f>HYPERLINK("https%3A%2F%2Fwww.webofscience.com%2Fwos%2Fwoscc%2Ffull-record%2FWOS:000074631300019","View Full Record in Web of Science")</f>
        <v>View Full Record in Web of Science</v>
      </c>
    </row>
    <row r="871" spans="1:72" x14ac:dyDescent="0.15">
      <c r="A871" t="s">
        <v>72</v>
      </c>
      <c r="B871" t="s">
        <v>11533</v>
      </c>
      <c r="C871" t="s">
        <v>74</v>
      </c>
      <c r="D871" t="s">
        <v>74</v>
      </c>
      <c r="E871" t="s">
        <v>74</v>
      </c>
      <c r="F871" t="s">
        <v>11533</v>
      </c>
      <c r="G871" t="s">
        <v>74</v>
      </c>
      <c r="H871" t="s">
        <v>74</v>
      </c>
      <c r="I871" t="s">
        <v>11534</v>
      </c>
      <c r="J871" t="s">
        <v>958</v>
      </c>
      <c r="K871" t="s">
        <v>74</v>
      </c>
      <c r="L871" t="s">
        <v>74</v>
      </c>
      <c r="M871" t="s">
        <v>77</v>
      </c>
      <c r="N871" t="s">
        <v>103</v>
      </c>
      <c r="O871" t="s">
        <v>74</v>
      </c>
      <c r="P871" t="s">
        <v>74</v>
      </c>
      <c r="Q871" t="s">
        <v>74</v>
      </c>
      <c r="R871" t="s">
        <v>74</v>
      </c>
      <c r="S871" t="s">
        <v>74</v>
      </c>
      <c r="T871" t="s">
        <v>74</v>
      </c>
      <c r="U871" t="s">
        <v>11535</v>
      </c>
      <c r="V871" t="s">
        <v>11536</v>
      </c>
      <c r="W871" t="s">
        <v>11537</v>
      </c>
      <c r="X871" t="s">
        <v>2202</v>
      </c>
      <c r="Y871" t="s">
        <v>11538</v>
      </c>
      <c r="Z871" t="s">
        <v>74</v>
      </c>
      <c r="AA871" t="s">
        <v>74</v>
      </c>
      <c r="AB871" t="s">
        <v>74</v>
      </c>
      <c r="AC871" t="s">
        <v>74</v>
      </c>
      <c r="AD871" t="s">
        <v>74</v>
      </c>
      <c r="AE871" t="s">
        <v>74</v>
      </c>
      <c r="AF871" t="s">
        <v>74</v>
      </c>
      <c r="AG871">
        <v>24</v>
      </c>
      <c r="AH871">
        <v>8</v>
      </c>
      <c r="AI871">
        <v>8</v>
      </c>
      <c r="AJ871">
        <v>0</v>
      </c>
      <c r="AK871">
        <v>0</v>
      </c>
      <c r="AL871" t="s">
        <v>966</v>
      </c>
      <c r="AM871" t="s">
        <v>967</v>
      </c>
      <c r="AN871" t="s">
        <v>968</v>
      </c>
      <c r="AO871" t="s">
        <v>969</v>
      </c>
      <c r="AP871" t="s">
        <v>74</v>
      </c>
      <c r="AQ871" t="s">
        <v>74</v>
      </c>
      <c r="AR871" t="s">
        <v>970</v>
      </c>
      <c r="AS871" t="s">
        <v>971</v>
      </c>
      <c r="AT871" t="s">
        <v>11539</v>
      </c>
      <c r="AU871">
        <v>1998</v>
      </c>
      <c r="AV871">
        <v>25</v>
      </c>
      <c r="AW871">
        <v>9</v>
      </c>
      <c r="AX871" t="s">
        <v>74</v>
      </c>
      <c r="AY871" t="s">
        <v>74</v>
      </c>
      <c r="AZ871" t="s">
        <v>74</v>
      </c>
      <c r="BA871" t="s">
        <v>74</v>
      </c>
      <c r="BB871">
        <v>1487</v>
      </c>
      <c r="BC871">
        <v>1490</v>
      </c>
      <c r="BD871" t="s">
        <v>74</v>
      </c>
      <c r="BE871" t="s">
        <v>11540</v>
      </c>
      <c r="BF871" t="str">
        <f>HYPERLINK("http://dx.doi.org/10.1029/98GL01026","http://dx.doi.org/10.1029/98GL01026")</f>
        <v>http://dx.doi.org/10.1029/98GL01026</v>
      </c>
      <c r="BG871" t="s">
        <v>74</v>
      </c>
      <c r="BH871" t="s">
        <v>74</v>
      </c>
      <c r="BI871">
        <v>4</v>
      </c>
      <c r="BJ871" t="s">
        <v>192</v>
      </c>
      <c r="BK871" t="s">
        <v>95</v>
      </c>
      <c r="BL871" t="s">
        <v>193</v>
      </c>
      <c r="BM871" t="s">
        <v>11541</v>
      </c>
      <c r="BN871" t="s">
        <v>74</v>
      </c>
      <c r="BO871" t="s">
        <v>1089</v>
      </c>
      <c r="BP871" t="s">
        <v>74</v>
      </c>
      <c r="BQ871" t="s">
        <v>74</v>
      </c>
      <c r="BR871" t="s">
        <v>98</v>
      </c>
      <c r="BS871" t="s">
        <v>11542</v>
      </c>
      <c r="BT871" t="str">
        <f>HYPERLINK("https%3A%2F%2Fwww.webofscience.com%2Fwos%2Fwoscc%2Ffull-record%2FWOS:000073414900051","View Full Record in Web of Science")</f>
        <v>View Full Record in Web of Science</v>
      </c>
    </row>
    <row r="872" spans="1:72" x14ac:dyDescent="0.15">
      <c r="A872" t="s">
        <v>72</v>
      </c>
      <c r="B872" t="s">
        <v>11543</v>
      </c>
      <c r="C872" t="s">
        <v>74</v>
      </c>
      <c r="D872" t="s">
        <v>74</v>
      </c>
      <c r="E872" t="s">
        <v>74</v>
      </c>
      <c r="F872" t="s">
        <v>11543</v>
      </c>
      <c r="G872" t="s">
        <v>74</v>
      </c>
      <c r="H872" t="s">
        <v>74</v>
      </c>
      <c r="I872" t="s">
        <v>11544</v>
      </c>
      <c r="J872" t="s">
        <v>958</v>
      </c>
      <c r="K872" t="s">
        <v>74</v>
      </c>
      <c r="L872" t="s">
        <v>74</v>
      </c>
      <c r="M872" t="s">
        <v>77</v>
      </c>
      <c r="N872" t="s">
        <v>103</v>
      </c>
      <c r="O872" t="s">
        <v>74</v>
      </c>
      <c r="P872" t="s">
        <v>74</v>
      </c>
      <c r="Q872" t="s">
        <v>74</v>
      </c>
      <c r="R872" t="s">
        <v>74</v>
      </c>
      <c r="S872" t="s">
        <v>74</v>
      </c>
      <c r="T872" t="s">
        <v>74</v>
      </c>
      <c r="U872" t="s">
        <v>11545</v>
      </c>
      <c r="V872" t="s">
        <v>11546</v>
      </c>
      <c r="W872" t="s">
        <v>11547</v>
      </c>
      <c r="X872" t="s">
        <v>11548</v>
      </c>
      <c r="Y872" t="s">
        <v>11549</v>
      </c>
      <c r="Z872" t="s">
        <v>11550</v>
      </c>
      <c r="AA872" t="s">
        <v>11551</v>
      </c>
      <c r="AB872" t="s">
        <v>11552</v>
      </c>
      <c r="AC872" t="s">
        <v>74</v>
      </c>
      <c r="AD872" t="s">
        <v>74</v>
      </c>
      <c r="AE872" t="s">
        <v>74</v>
      </c>
      <c r="AF872" t="s">
        <v>74</v>
      </c>
      <c r="AG872">
        <v>27</v>
      </c>
      <c r="AH872">
        <v>20</v>
      </c>
      <c r="AI872">
        <v>20</v>
      </c>
      <c r="AJ872">
        <v>0</v>
      </c>
      <c r="AK872">
        <v>2</v>
      </c>
      <c r="AL872" t="s">
        <v>966</v>
      </c>
      <c r="AM872" t="s">
        <v>967</v>
      </c>
      <c r="AN872" t="s">
        <v>968</v>
      </c>
      <c r="AO872" t="s">
        <v>969</v>
      </c>
      <c r="AP872" t="s">
        <v>5234</v>
      </c>
      <c r="AQ872" t="s">
        <v>74</v>
      </c>
      <c r="AR872" t="s">
        <v>970</v>
      </c>
      <c r="AS872" t="s">
        <v>971</v>
      </c>
      <c r="AT872" t="s">
        <v>11539</v>
      </c>
      <c r="AU872">
        <v>1998</v>
      </c>
      <c r="AV872">
        <v>25</v>
      </c>
      <c r="AW872">
        <v>9</v>
      </c>
      <c r="AX872" t="s">
        <v>74</v>
      </c>
      <c r="AY872" t="s">
        <v>74</v>
      </c>
      <c r="AZ872" t="s">
        <v>74</v>
      </c>
      <c r="BA872" t="s">
        <v>74</v>
      </c>
      <c r="BB872">
        <v>1507</v>
      </c>
      <c r="BC872">
        <v>1510</v>
      </c>
      <c r="BD872" t="s">
        <v>74</v>
      </c>
      <c r="BE872" t="s">
        <v>11553</v>
      </c>
      <c r="BF872" t="str">
        <f>HYPERLINK("http://dx.doi.org/10.1029/98GL00848","http://dx.doi.org/10.1029/98GL00848")</f>
        <v>http://dx.doi.org/10.1029/98GL00848</v>
      </c>
      <c r="BG872" t="s">
        <v>74</v>
      </c>
      <c r="BH872" t="s">
        <v>74</v>
      </c>
      <c r="BI872">
        <v>4</v>
      </c>
      <c r="BJ872" t="s">
        <v>192</v>
      </c>
      <c r="BK872" t="s">
        <v>95</v>
      </c>
      <c r="BL872" t="s">
        <v>193</v>
      </c>
      <c r="BM872" t="s">
        <v>11541</v>
      </c>
      <c r="BN872" t="s">
        <v>74</v>
      </c>
      <c r="BO872" t="s">
        <v>5238</v>
      </c>
      <c r="BP872" t="s">
        <v>74</v>
      </c>
      <c r="BQ872" t="s">
        <v>74</v>
      </c>
      <c r="BR872" t="s">
        <v>98</v>
      </c>
      <c r="BS872" t="s">
        <v>11554</v>
      </c>
      <c r="BT872" t="str">
        <f>HYPERLINK("https%3A%2F%2Fwww.webofscience.com%2Fwos%2Fwoscc%2Ffull-record%2FWOS:000073414900056","View Full Record in Web of Science")</f>
        <v>View Full Record in Web of Science</v>
      </c>
    </row>
    <row r="873" spans="1:72" x14ac:dyDescent="0.15">
      <c r="A873" t="s">
        <v>72</v>
      </c>
      <c r="B873" t="s">
        <v>11555</v>
      </c>
      <c r="C873" t="s">
        <v>74</v>
      </c>
      <c r="D873" t="s">
        <v>74</v>
      </c>
      <c r="E873" t="s">
        <v>74</v>
      </c>
      <c r="F873" t="s">
        <v>11555</v>
      </c>
      <c r="G873" t="s">
        <v>74</v>
      </c>
      <c r="H873" t="s">
        <v>74</v>
      </c>
      <c r="I873" t="s">
        <v>11556</v>
      </c>
      <c r="J873" t="s">
        <v>1030</v>
      </c>
      <c r="K873" t="s">
        <v>74</v>
      </c>
      <c r="L873" t="s">
        <v>74</v>
      </c>
      <c r="M873" t="s">
        <v>77</v>
      </c>
      <c r="N873" t="s">
        <v>123</v>
      </c>
      <c r="O873" t="s">
        <v>11557</v>
      </c>
      <c r="P873" t="s">
        <v>11558</v>
      </c>
      <c r="Q873" t="s">
        <v>11559</v>
      </c>
      <c r="R873" t="s">
        <v>74</v>
      </c>
      <c r="S873" t="s">
        <v>74</v>
      </c>
      <c r="T873" t="s">
        <v>11560</v>
      </c>
      <c r="U873" t="s">
        <v>11561</v>
      </c>
      <c r="V873" t="s">
        <v>11562</v>
      </c>
      <c r="W873" t="s">
        <v>11563</v>
      </c>
      <c r="X873" t="s">
        <v>11564</v>
      </c>
      <c r="Y873" t="s">
        <v>11565</v>
      </c>
      <c r="Z873" t="s">
        <v>74</v>
      </c>
      <c r="AA873" t="s">
        <v>11566</v>
      </c>
      <c r="AB873" t="s">
        <v>11567</v>
      </c>
      <c r="AC873" t="s">
        <v>74</v>
      </c>
      <c r="AD873" t="s">
        <v>74</v>
      </c>
      <c r="AE873" t="s">
        <v>74</v>
      </c>
      <c r="AF873" t="s">
        <v>74</v>
      </c>
      <c r="AG873">
        <v>66</v>
      </c>
      <c r="AH873">
        <v>15</v>
      </c>
      <c r="AI873">
        <v>18</v>
      </c>
      <c r="AJ873">
        <v>0</v>
      </c>
      <c r="AK873">
        <v>9</v>
      </c>
      <c r="AL873" t="s">
        <v>1037</v>
      </c>
      <c r="AM873" t="s">
        <v>1038</v>
      </c>
      <c r="AN873" t="s">
        <v>1039</v>
      </c>
      <c r="AO873" t="s">
        <v>1040</v>
      </c>
      <c r="AP873" t="s">
        <v>74</v>
      </c>
      <c r="AQ873" t="s">
        <v>74</v>
      </c>
      <c r="AR873" t="s">
        <v>1041</v>
      </c>
      <c r="AS873" t="s">
        <v>1042</v>
      </c>
      <c r="AT873" t="s">
        <v>11304</v>
      </c>
      <c r="AU873">
        <v>1998</v>
      </c>
      <c r="AV873">
        <v>17</v>
      </c>
      <c r="AW873" t="s">
        <v>74</v>
      </c>
      <c r="AX873" t="s">
        <v>74</v>
      </c>
      <c r="AY873" t="s">
        <v>74</v>
      </c>
      <c r="AZ873" t="s">
        <v>74</v>
      </c>
      <c r="BA873" t="s">
        <v>74</v>
      </c>
      <c r="BB873">
        <v>25</v>
      </c>
      <c r="BC873">
        <v>36</v>
      </c>
      <c r="BD873" t="s">
        <v>74</v>
      </c>
      <c r="BE873" t="s">
        <v>11568</v>
      </c>
      <c r="BF873" t="str">
        <f>HYPERLINK("http://dx.doi.org/10.1016/S0921-8181(98)00004-6","http://dx.doi.org/10.1016/S0921-8181(98)00004-6")</f>
        <v>http://dx.doi.org/10.1016/S0921-8181(98)00004-6</v>
      </c>
      <c r="BG873" t="s">
        <v>74</v>
      </c>
      <c r="BH873" t="s">
        <v>74</v>
      </c>
      <c r="BI873">
        <v>12</v>
      </c>
      <c r="BJ873" t="s">
        <v>1044</v>
      </c>
      <c r="BK873" t="s">
        <v>144</v>
      </c>
      <c r="BL873" t="s">
        <v>936</v>
      </c>
      <c r="BM873" t="s">
        <v>11569</v>
      </c>
      <c r="BN873" t="s">
        <v>74</v>
      </c>
      <c r="BO873" t="s">
        <v>74</v>
      </c>
      <c r="BP873" t="s">
        <v>74</v>
      </c>
      <c r="BQ873" t="s">
        <v>74</v>
      </c>
      <c r="BR873" t="s">
        <v>98</v>
      </c>
      <c r="BS873" t="s">
        <v>11570</v>
      </c>
      <c r="BT873" t="str">
        <f>HYPERLINK("https%3A%2F%2Fwww.webofscience.com%2Fwos%2Fwoscc%2Ffull-record%2FWOS:000074580600003","View Full Record in Web of Science")</f>
        <v>View Full Record in Web of Science</v>
      </c>
    </row>
    <row r="874" spans="1:72" x14ac:dyDescent="0.15">
      <c r="A874" t="s">
        <v>72</v>
      </c>
      <c r="B874" t="s">
        <v>11571</v>
      </c>
      <c r="C874" t="s">
        <v>74</v>
      </c>
      <c r="D874" t="s">
        <v>74</v>
      </c>
      <c r="E874" t="s">
        <v>74</v>
      </c>
      <c r="F874" t="s">
        <v>11571</v>
      </c>
      <c r="G874" t="s">
        <v>74</v>
      </c>
      <c r="H874" t="s">
        <v>74</v>
      </c>
      <c r="I874" t="s">
        <v>11572</v>
      </c>
      <c r="J874" t="s">
        <v>11573</v>
      </c>
      <c r="K874" t="s">
        <v>74</v>
      </c>
      <c r="L874" t="s">
        <v>74</v>
      </c>
      <c r="M874" t="s">
        <v>77</v>
      </c>
      <c r="N874" t="s">
        <v>123</v>
      </c>
      <c r="O874" t="s">
        <v>11574</v>
      </c>
      <c r="P874" t="s">
        <v>11575</v>
      </c>
      <c r="Q874" t="s">
        <v>11576</v>
      </c>
      <c r="R874" t="s">
        <v>74</v>
      </c>
      <c r="S874" t="s">
        <v>74</v>
      </c>
      <c r="T874" t="s">
        <v>11577</v>
      </c>
      <c r="U874" t="s">
        <v>11578</v>
      </c>
      <c r="V874" t="s">
        <v>11579</v>
      </c>
      <c r="W874" t="s">
        <v>11580</v>
      </c>
      <c r="X874" t="s">
        <v>6427</v>
      </c>
      <c r="Y874" t="s">
        <v>11581</v>
      </c>
      <c r="Z874" t="s">
        <v>74</v>
      </c>
      <c r="AA874" t="s">
        <v>11582</v>
      </c>
      <c r="AB874" t="s">
        <v>11583</v>
      </c>
      <c r="AC874" t="s">
        <v>74</v>
      </c>
      <c r="AD874" t="s">
        <v>74</v>
      </c>
      <c r="AE874" t="s">
        <v>74</v>
      </c>
      <c r="AF874" t="s">
        <v>74</v>
      </c>
      <c r="AG874">
        <v>27</v>
      </c>
      <c r="AH874">
        <v>18</v>
      </c>
      <c r="AI874">
        <v>19</v>
      </c>
      <c r="AJ874">
        <v>1</v>
      </c>
      <c r="AK874">
        <v>5</v>
      </c>
      <c r="AL874" t="s">
        <v>11352</v>
      </c>
      <c r="AM874" t="s">
        <v>395</v>
      </c>
      <c r="AN874" t="s">
        <v>11353</v>
      </c>
      <c r="AO874" t="s">
        <v>11584</v>
      </c>
      <c r="AP874" t="s">
        <v>74</v>
      </c>
      <c r="AQ874" t="s">
        <v>74</v>
      </c>
      <c r="AR874" t="s">
        <v>11585</v>
      </c>
      <c r="AS874" t="s">
        <v>11586</v>
      </c>
      <c r="AT874" t="s">
        <v>11304</v>
      </c>
      <c r="AU874">
        <v>1998</v>
      </c>
      <c r="AV874">
        <v>13</v>
      </c>
      <c r="AW874">
        <v>5</v>
      </c>
      <c r="AX874" t="s">
        <v>74</v>
      </c>
      <c r="AY874" t="s">
        <v>74</v>
      </c>
      <c r="AZ874" t="s">
        <v>74</v>
      </c>
      <c r="BA874" t="s">
        <v>74</v>
      </c>
      <c r="BB874">
        <v>463</v>
      </c>
      <c r="BC874">
        <v>468</v>
      </c>
      <c r="BD874" t="s">
        <v>74</v>
      </c>
      <c r="BE874" t="s">
        <v>11587</v>
      </c>
      <c r="BF874" t="str">
        <f>HYPERLINK("http://dx.doi.org/10.1039/a707871d","http://dx.doi.org/10.1039/a707871d")</f>
        <v>http://dx.doi.org/10.1039/a707871d</v>
      </c>
      <c r="BG874" t="s">
        <v>74</v>
      </c>
      <c r="BH874" t="s">
        <v>74</v>
      </c>
      <c r="BI874">
        <v>6</v>
      </c>
      <c r="BJ874" t="s">
        <v>11588</v>
      </c>
      <c r="BK874" t="s">
        <v>235</v>
      </c>
      <c r="BL874" t="s">
        <v>11589</v>
      </c>
      <c r="BM874" t="s">
        <v>11590</v>
      </c>
      <c r="BN874" t="s">
        <v>74</v>
      </c>
      <c r="BO874" t="s">
        <v>2905</v>
      </c>
      <c r="BP874" t="s">
        <v>74</v>
      </c>
      <c r="BQ874" t="s">
        <v>74</v>
      </c>
      <c r="BR874" t="s">
        <v>98</v>
      </c>
      <c r="BS874" t="s">
        <v>11591</v>
      </c>
      <c r="BT874" t="str">
        <f>HYPERLINK("https%3A%2F%2Fwww.webofscience.com%2Fwos%2Fwoscc%2Ffull-record%2FWOS:000073808900021","View Full Record in Web of Science")</f>
        <v>View Full Record in Web of Science</v>
      </c>
    </row>
    <row r="875" spans="1:72" x14ac:dyDescent="0.15">
      <c r="A875" t="s">
        <v>72</v>
      </c>
      <c r="B875" t="s">
        <v>11592</v>
      </c>
      <c r="C875" t="s">
        <v>74</v>
      </c>
      <c r="D875" t="s">
        <v>74</v>
      </c>
      <c r="E875" t="s">
        <v>74</v>
      </c>
      <c r="F875" t="s">
        <v>11592</v>
      </c>
      <c r="G875" t="s">
        <v>74</v>
      </c>
      <c r="H875" t="s">
        <v>74</v>
      </c>
      <c r="I875" t="s">
        <v>11593</v>
      </c>
      <c r="J875" t="s">
        <v>11594</v>
      </c>
      <c r="K875" t="s">
        <v>74</v>
      </c>
      <c r="L875" t="s">
        <v>74</v>
      </c>
      <c r="M875" t="s">
        <v>77</v>
      </c>
      <c r="N875" t="s">
        <v>103</v>
      </c>
      <c r="O875" t="s">
        <v>74</v>
      </c>
      <c r="P875" t="s">
        <v>74</v>
      </c>
      <c r="Q875" t="s">
        <v>74</v>
      </c>
      <c r="R875" t="s">
        <v>74</v>
      </c>
      <c r="S875" t="s">
        <v>74</v>
      </c>
      <c r="T875" t="s">
        <v>74</v>
      </c>
      <c r="U875" t="s">
        <v>11595</v>
      </c>
      <c r="V875" t="s">
        <v>11596</v>
      </c>
      <c r="W875" t="s">
        <v>11597</v>
      </c>
      <c r="X875" t="s">
        <v>628</v>
      </c>
      <c r="Y875" t="s">
        <v>11598</v>
      </c>
      <c r="Z875" t="s">
        <v>74</v>
      </c>
      <c r="AA875" t="s">
        <v>74</v>
      </c>
      <c r="AB875" t="s">
        <v>74</v>
      </c>
      <c r="AC875" t="s">
        <v>74</v>
      </c>
      <c r="AD875" t="s">
        <v>74</v>
      </c>
      <c r="AE875" t="s">
        <v>74</v>
      </c>
      <c r="AF875" t="s">
        <v>74</v>
      </c>
      <c r="AG875">
        <v>23</v>
      </c>
      <c r="AH875">
        <v>8</v>
      </c>
      <c r="AI875">
        <v>8</v>
      </c>
      <c r="AJ875">
        <v>0</v>
      </c>
      <c r="AK875">
        <v>2</v>
      </c>
      <c r="AL875" t="s">
        <v>1344</v>
      </c>
      <c r="AM875" t="s">
        <v>1345</v>
      </c>
      <c r="AN875" t="s">
        <v>1346</v>
      </c>
      <c r="AO875" t="s">
        <v>11599</v>
      </c>
      <c r="AP875" t="s">
        <v>74</v>
      </c>
      <c r="AQ875" t="s">
        <v>74</v>
      </c>
      <c r="AR875" t="s">
        <v>11600</v>
      </c>
      <c r="AS875" t="s">
        <v>11601</v>
      </c>
      <c r="AT875" t="s">
        <v>11304</v>
      </c>
      <c r="AU875">
        <v>1998</v>
      </c>
      <c r="AV875">
        <v>37</v>
      </c>
      <c r="AW875">
        <v>5</v>
      </c>
      <c r="AX875" t="s">
        <v>74</v>
      </c>
      <c r="AY875" t="s">
        <v>74</v>
      </c>
      <c r="AZ875" t="s">
        <v>74</v>
      </c>
      <c r="BA875" t="s">
        <v>74</v>
      </c>
      <c r="BB875">
        <v>477</v>
      </c>
      <c r="BC875">
        <v>485</v>
      </c>
      <c r="BD875" t="s">
        <v>74</v>
      </c>
      <c r="BE875" t="s">
        <v>11602</v>
      </c>
      <c r="BF875" t="str">
        <f>HYPERLINK("http://dx.doi.org/10.1175/1520-0450(1998)037&lt;0477:PTOBOG&gt;2.0.CO;2","http://dx.doi.org/10.1175/1520-0450(1998)037&lt;0477:PTOBOG&gt;2.0.CO;2")</f>
        <v>http://dx.doi.org/10.1175/1520-0450(1998)037&lt;0477:PTOBOG&gt;2.0.CO;2</v>
      </c>
      <c r="BG875" t="s">
        <v>74</v>
      </c>
      <c r="BH875" t="s">
        <v>74</v>
      </c>
      <c r="BI875">
        <v>9</v>
      </c>
      <c r="BJ875" t="s">
        <v>1418</v>
      </c>
      <c r="BK875" t="s">
        <v>95</v>
      </c>
      <c r="BL875" t="s">
        <v>1418</v>
      </c>
      <c r="BM875" t="s">
        <v>11603</v>
      </c>
      <c r="BN875" t="s">
        <v>74</v>
      </c>
      <c r="BO875" t="s">
        <v>1429</v>
      </c>
      <c r="BP875" t="s">
        <v>74</v>
      </c>
      <c r="BQ875" t="s">
        <v>74</v>
      </c>
      <c r="BR875" t="s">
        <v>98</v>
      </c>
      <c r="BS875" t="s">
        <v>11604</v>
      </c>
      <c r="BT875" t="str">
        <f>HYPERLINK("https%3A%2F%2Fwww.webofscience.com%2Fwos%2Fwoscc%2Ffull-record%2FWOS:000073315600004","View Full Record in Web of Science")</f>
        <v>View Full Record in Web of Science</v>
      </c>
    </row>
    <row r="876" spans="1:72" x14ac:dyDescent="0.15">
      <c r="A876" t="s">
        <v>72</v>
      </c>
      <c r="B876" t="s">
        <v>11605</v>
      </c>
      <c r="C876" t="s">
        <v>74</v>
      </c>
      <c r="D876" t="s">
        <v>74</v>
      </c>
      <c r="E876" t="s">
        <v>74</v>
      </c>
      <c r="F876" t="s">
        <v>11605</v>
      </c>
      <c r="G876" t="s">
        <v>74</v>
      </c>
      <c r="H876" t="s">
        <v>74</v>
      </c>
      <c r="I876" t="s">
        <v>11606</v>
      </c>
      <c r="J876" t="s">
        <v>8464</v>
      </c>
      <c r="K876" t="s">
        <v>74</v>
      </c>
      <c r="L876" t="s">
        <v>74</v>
      </c>
      <c r="M876" t="s">
        <v>77</v>
      </c>
      <c r="N876" t="s">
        <v>103</v>
      </c>
      <c r="O876" t="s">
        <v>74</v>
      </c>
      <c r="P876" t="s">
        <v>74</v>
      </c>
      <c r="Q876" t="s">
        <v>74</v>
      </c>
      <c r="R876" t="s">
        <v>74</v>
      </c>
      <c r="S876" t="s">
        <v>74</v>
      </c>
      <c r="T876" t="s">
        <v>74</v>
      </c>
      <c r="U876" t="s">
        <v>11607</v>
      </c>
      <c r="V876" t="s">
        <v>11608</v>
      </c>
      <c r="W876" t="s">
        <v>11609</v>
      </c>
      <c r="X876" t="s">
        <v>11610</v>
      </c>
      <c r="Y876" t="s">
        <v>11611</v>
      </c>
      <c r="Z876" t="s">
        <v>11612</v>
      </c>
      <c r="AA876" t="s">
        <v>6374</v>
      </c>
      <c r="AB876" t="s">
        <v>6375</v>
      </c>
      <c r="AC876" t="s">
        <v>74</v>
      </c>
      <c r="AD876" t="s">
        <v>74</v>
      </c>
      <c r="AE876" t="s">
        <v>74</v>
      </c>
      <c r="AF876" t="s">
        <v>74</v>
      </c>
      <c r="AG876">
        <v>25</v>
      </c>
      <c r="AH876">
        <v>12</v>
      </c>
      <c r="AI876">
        <v>12</v>
      </c>
      <c r="AJ876">
        <v>0</v>
      </c>
      <c r="AK876">
        <v>0</v>
      </c>
      <c r="AL876" t="s">
        <v>445</v>
      </c>
      <c r="AM876" t="s">
        <v>229</v>
      </c>
      <c r="AN876" t="s">
        <v>446</v>
      </c>
      <c r="AO876" t="s">
        <v>8471</v>
      </c>
      <c r="AP876" t="s">
        <v>11613</v>
      </c>
      <c r="AQ876" t="s">
        <v>74</v>
      </c>
      <c r="AR876" t="s">
        <v>8472</v>
      </c>
      <c r="AS876" t="s">
        <v>8473</v>
      </c>
      <c r="AT876" t="s">
        <v>11320</v>
      </c>
      <c r="AU876">
        <v>1998</v>
      </c>
      <c r="AV876">
        <v>60</v>
      </c>
      <c r="AW876" t="s">
        <v>11614</v>
      </c>
      <c r="AX876" t="s">
        <v>74</v>
      </c>
      <c r="AY876" t="s">
        <v>74</v>
      </c>
      <c r="AZ876" t="s">
        <v>74</v>
      </c>
      <c r="BA876" t="s">
        <v>74</v>
      </c>
      <c r="BB876">
        <v>755</v>
      </c>
      <c r="BC876">
        <v>763</v>
      </c>
      <c r="BD876" t="s">
        <v>74</v>
      </c>
      <c r="BE876" t="s">
        <v>11615</v>
      </c>
      <c r="BF876" t="str">
        <f>HYPERLINK("http://dx.doi.org/10.1016/S1364-6826(98)00015-7","http://dx.doi.org/10.1016/S1364-6826(98)00015-7")</f>
        <v>http://dx.doi.org/10.1016/S1364-6826(98)00015-7</v>
      </c>
      <c r="BG876" t="s">
        <v>74</v>
      </c>
      <c r="BH876" t="s">
        <v>74</v>
      </c>
      <c r="BI876">
        <v>9</v>
      </c>
      <c r="BJ876" t="s">
        <v>8475</v>
      </c>
      <c r="BK876" t="s">
        <v>95</v>
      </c>
      <c r="BL876" t="s">
        <v>8475</v>
      </c>
      <c r="BM876" t="s">
        <v>11616</v>
      </c>
      <c r="BN876" t="s">
        <v>74</v>
      </c>
      <c r="BO876" t="s">
        <v>74</v>
      </c>
      <c r="BP876" t="s">
        <v>74</v>
      </c>
      <c r="BQ876" t="s">
        <v>74</v>
      </c>
      <c r="BR876" t="s">
        <v>98</v>
      </c>
      <c r="BS876" t="s">
        <v>11617</v>
      </c>
      <c r="BT876" t="str">
        <f>HYPERLINK("https%3A%2F%2Fwww.webofscience.com%2Fwos%2Fwoscc%2Ffull-record%2FWOS:000076193500011","View Full Record in Web of Science")</f>
        <v>View Full Record in Web of Science</v>
      </c>
    </row>
    <row r="877" spans="1:72" x14ac:dyDescent="0.15">
      <c r="A877" t="s">
        <v>72</v>
      </c>
      <c r="B877" t="s">
        <v>11618</v>
      </c>
      <c r="C877" t="s">
        <v>74</v>
      </c>
      <c r="D877" t="s">
        <v>74</v>
      </c>
      <c r="E877" t="s">
        <v>74</v>
      </c>
      <c r="F877" t="s">
        <v>11618</v>
      </c>
      <c r="G877" t="s">
        <v>74</v>
      </c>
      <c r="H877" t="s">
        <v>74</v>
      </c>
      <c r="I877" t="s">
        <v>11619</v>
      </c>
      <c r="J877" t="s">
        <v>1359</v>
      </c>
      <c r="K877" t="s">
        <v>74</v>
      </c>
      <c r="L877" t="s">
        <v>74</v>
      </c>
      <c r="M877" t="s">
        <v>77</v>
      </c>
      <c r="N877" t="s">
        <v>103</v>
      </c>
      <c r="O877" t="s">
        <v>74</v>
      </c>
      <c r="P877" t="s">
        <v>74</v>
      </c>
      <c r="Q877" t="s">
        <v>74</v>
      </c>
      <c r="R877" t="s">
        <v>74</v>
      </c>
      <c r="S877" t="s">
        <v>74</v>
      </c>
      <c r="T877" t="s">
        <v>11620</v>
      </c>
      <c r="U877" t="s">
        <v>11621</v>
      </c>
      <c r="V877" t="s">
        <v>11622</v>
      </c>
      <c r="W877" t="s">
        <v>6729</v>
      </c>
      <c r="X877" t="s">
        <v>1384</v>
      </c>
      <c r="Y877" t="s">
        <v>11623</v>
      </c>
      <c r="Z877" t="s">
        <v>11624</v>
      </c>
      <c r="AA877" t="s">
        <v>11625</v>
      </c>
      <c r="AB877" t="s">
        <v>11626</v>
      </c>
      <c r="AC877" t="s">
        <v>74</v>
      </c>
      <c r="AD877" t="s">
        <v>74</v>
      </c>
      <c r="AE877" t="s">
        <v>74</v>
      </c>
      <c r="AF877" t="s">
        <v>74</v>
      </c>
      <c r="AG877">
        <v>69</v>
      </c>
      <c r="AH877">
        <v>32</v>
      </c>
      <c r="AI877">
        <v>34</v>
      </c>
      <c r="AJ877">
        <v>0</v>
      </c>
      <c r="AK877">
        <v>8</v>
      </c>
      <c r="AL877" t="s">
        <v>805</v>
      </c>
      <c r="AM877" t="s">
        <v>866</v>
      </c>
      <c r="AN877" t="s">
        <v>867</v>
      </c>
      <c r="AO877" t="s">
        <v>1370</v>
      </c>
      <c r="AP877" t="s">
        <v>11627</v>
      </c>
      <c r="AQ877" t="s">
        <v>74</v>
      </c>
      <c r="AR877" t="s">
        <v>1371</v>
      </c>
      <c r="AS877" t="s">
        <v>1372</v>
      </c>
      <c r="AT877" t="s">
        <v>11304</v>
      </c>
      <c r="AU877">
        <v>1998</v>
      </c>
      <c r="AV877">
        <v>30</v>
      </c>
      <c r="AW877">
        <v>1</v>
      </c>
      <c r="AX877" t="s">
        <v>74</v>
      </c>
      <c r="AY877" t="s">
        <v>74</v>
      </c>
      <c r="AZ877" t="s">
        <v>74</v>
      </c>
      <c r="BA877" t="s">
        <v>74</v>
      </c>
      <c r="BB877">
        <v>25</v>
      </c>
      <c r="BC877">
        <v>47</v>
      </c>
      <c r="BD877" t="s">
        <v>74</v>
      </c>
      <c r="BE877" t="s">
        <v>11628</v>
      </c>
      <c r="BF877" t="str">
        <f>HYPERLINK("http://dx.doi.org/10.1023/A:1005896532640","http://dx.doi.org/10.1023/A:1005896532640")</f>
        <v>http://dx.doi.org/10.1023/A:1005896532640</v>
      </c>
      <c r="BG877" t="s">
        <v>74</v>
      </c>
      <c r="BH877" t="s">
        <v>74</v>
      </c>
      <c r="BI877">
        <v>23</v>
      </c>
      <c r="BJ877" t="s">
        <v>1374</v>
      </c>
      <c r="BK877" t="s">
        <v>95</v>
      </c>
      <c r="BL877" t="s">
        <v>1375</v>
      </c>
      <c r="BM877" t="s">
        <v>11629</v>
      </c>
      <c r="BN877" t="s">
        <v>74</v>
      </c>
      <c r="BO877" t="s">
        <v>74</v>
      </c>
      <c r="BP877" t="s">
        <v>74</v>
      </c>
      <c r="BQ877" t="s">
        <v>74</v>
      </c>
      <c r="BR877" t="s">
        <v>98</v>
      </c>
      <c r="BS877" t="s">
        <v>11630</v>
      </c>
      <c r="BT877" t="str">
        <f>HYPERLINK("https%3A%2F%2Fwww.webofscience.com%2Fwos%2Fwoscc%2Ffull-record%2FWOS:000074846600004","View Full Record in Web of Science")</f>
        <v>View Full Record in Web of Science</v>
      </c>
    </row>
    <row r="878" spans="1:72" x14ac:dyDescent="0.15">
      <c r="A878" t="s">
        <v>72</v>
      </c>
      <c r="B878" t="s">
        <v>11631</v>
      </c>
      <c r="C878" t="s">
        <v>74</v>
      </c>
      <c r="D878" t="s">
        <v>74</v>
      </c>
      <c r="E878" t="s">
        <v>74</v>
      </c>
      <c r="F878" t="s">
        <v>11631</v>
      </c>
      <c r="G878" t="s">
        <v>74</v>
      </c>
      <c r="H878" t="s">
        <v>74</v>
      </c>
      <c r="I878" t="s">
        <v>11632</v>
      </c>
      <c r="J878" t="s">
        <v>1359</v>
      </c>
      <c r="K878" t="s">
        <v>74</v>
      </c>
      <c r="L878" t="s">
        <v>74</v>
      </c>
      <c r="M878" t="s">
        <v>77</v>
      </c>
      <c r="N878" t="s">
        <v>103</v>
      </c>
      <c r="O878" t="s">
        <v>74</v>
      </c>
      <c r="P878" t="s">
        <v>74</v>
      </c>
      <c r="Q878" t="s">
        <v>74</v>
      </c>
      <c r="R878" t="s">
        <v>74</v>
      </c>
      <c r="S878" t="s">
        <v>74</v>
      </c>
      <c r="T878" t="s">
        <v>11633</v>
      </c>
      <c r="U878" t="s">
        <v>11634</v>
      </c>
      <c r="V878" t="s">
        <v>11635</v>
      </c>
      <c r="W878" t="s">
        <v>11636</v>
      </c>
      <c r="X878" t="s">
        <v>1142</v>
      </c>
      <c r="Y878" t="s">
        <v>11637</v>
      </c>
      <c r="Z878" t="s">
        <v>74</v>
      </c>
      <c r="AA878" t="s">
        <v>11638</v>
      </c>
      <c r="AB878" t="s">
        <v>11639</v>
      </c>
      <c r="AC878" t="s">
        <v>74</v>
      </c>
      <c r="AD878" t="s">
        <v>74</v>
      </c>
      <c r="AE878" t="s">
        <v>74</v>
      </c>
      <c r="AF878" t="s">
        <v>74</v>
      </c>
      <c r="AG878">
        <v>23</v>
      </c>
      <c r="AH878">
        <v>13</v>
      </c>
      <c r="AI878">
        <v>14</v>
      </c>
      <c r="AJ878">
        <v>0</v>
      </c>
      <c r="AK878">
        <v>3</v>
      </c>
      <c r="AL878" t="s">
        <v>1368</v>
      </c>
      <c r="AM878" t="s">
        <v>866</v>
      </c>
      <c r="AN878" t="s">
        <v>1369</v>
      </c>
      <c r="AO878" t="s">
        <v>1370</v>
      </c>
      <c r="AP878" t="s">
        <v>74</v>
      </c>
      <c r="AQ878" t="s">
        <v>74</v>
      </c>
      <c r="AR878" t="s">
        <v>1371</v>
      </c>
      <c r="AS878" t="s">
        <v>1372</v>
      </c>
      <c r="AT878" t="s">
        <v>11304</v>
      </c>
      <c r="AU878">
        <v>1998</v>
      </c>
      <c r="AV878">
        <v>30</v>
      </c>
      <c r="AW878">
        <v>1</v>
      </c>
      <c r="AX878" t="s">
        <v>74</v>
      </c>
      <c r="AY878" t="s">
        <v>74</v>
      </c>
      <c r="AZ878" t="s">
        <v>74</v>
      </c>
      <c r="BA878" t="s">
        <v>74</v>
      </c>
      <c r="BB878">
        <v>49</v>
      </c>
      <c r="BC878">
        <v>59</v>
      </c>
      <c r="BD878" t="s">
        <v>74</v>
      </c>
      <c r="BE878" t="s">
        <v>11640</v>
      </c>
      <c r="BF878" t="str">
        <f>HYPERLINK("http://dx.doi.org/10.1023/A:1006014003391","http://dx.doi.org/10.1023/A:1006014003391")</f>
        <v>http://dx.doi.org/10.1023/A:1006014003391</v>
      </c>
      <c r="BG878" t="s">
        <v>74</v>
      </c>
      <c r="BH878" t="s">
        <v>74</v>
      </c>
      <c r="BI878">
        <v>11</v>
      </c>
      <c r="BJ878" t="s">
        <v>1374</v>
      </c>
      <c r="BK878" t="s">
        <v>95</v>
      </c>
      <c r="BL878" t="s">
        <v>1375</v>
      </c>
      <c r="BM878" t="s">
        <v>11629</v>
      </c>
      <c r="BN878" t="s">
        <v>74</v>
      </c>
      <c r="BO878" t="s">
        <v>74</v>
      </c>
      <c r="BP878" t="s">
        <v>74</v>
      </c>
      <c r="BQ878" t="s">
        <v>74</v>
      </c>
      <c r="BR878" t="s">
        <v>98</v>
      </c>
      <c r="BS878" t="s">
        <v>11641</v>
      </c>
      <c r="BT878" t="str">
        <f>HYPERLINK("https%3A%2F%2Fwww.webofscience.com%2Fwos%2Fwoscc%2Ffull-record%2FWOS:000074846600005","View Full Record in Web of Science")</f>
        <v>View Full Record in Web of Science</v>
      </c>
    </row>
    <row r="879" spans="1:72" x14ac:dyDescent="0.15">
      <c r="A879" t="s">
        <v>72</v>
      </c>
      <c r="B879" t="s">
        <v>11642</v>
      </c>
      <c r="C879" t="s">
        <v>74</v>
      </c>
      <c r="D879" t="s">
        <v>74</v>
      </c>
      <c r="E879" t="s">
        <v>74</v>
      </c>
      <c r="F879" t="s">
        <v>11642</v>
      </c>
      <c r="G879" t="s">
        <v>74</v>
      </c>
      <c r="H879" t="s">
        <v>74</v>
      </c>
      <c r="I879" t="s">
        <v>11643</v>
      </c>
      <c r="J879" t="s">
        <v>1359</v>
      </c>
      <c r="K879" t="s">
        <v>74</v>
      </c>
      <c r="L879" t="s">
        <v>74</v>
      </c>
      <c r="M879" t="s">
        <v>77</v>
      </c>
      <c r="N879" t="s">
        <v>103</v>
      </c>
      <c r="O879" t="s">
        <v>74</v>
      </c>
      <c r="P879" t="s">
        <v>74</v>
      </c>
      <c r="Q879" t="s">
        <v>74</v>
      </c>
      <c r="R879" t="s">
        <v>74</v>
      </c>
      <c r="S879" t="s">
        <v>74</v>
      </c>
      <c r="T879" t="s">
        <v>74</v>
      </c>
      <c r="U879" t="s">
        <v>11644</v>
      </c>
      <c r="V879" t="s">
        <v>11645</v>
      </c>
      <c r="W879" t="s">
        <v>11646</v>
      </c>
      <c r="X879" t="s">
        <v>11647</v>
      </c>
      <c r="Y879" t="s">
        <v>11648</v>
      </c>
      <c r="Z879" t="s">
        <v>74</v>
      </c>
      <c r="AA879" t="s">
        <v>74</v>
      </c>
      <c r="AB879" t="s">
        <v>74</v>
      </c>
      <c r="AC879" t="s">
        <v>74</v>
      </c>
      <c r="AD879" t="s">
        <v>74</v>
      </c>
      <c r="AE879" t="s">
        <v>74</v>
      </c>
      <c r="AF879" t="s">
        <v>74</v>
      </c>
      <c r="AG879">
        <v>22</v>
      </c>
      <c r="AH879">
        <v>15</v>
      </c>
      <c r="AI879">
        <v>15</v>
      </c>
      <c r="AJ879">
        <v>0</v>
      </c>
      <c r="AK879">
        <v>0</v>
      </c>
      <c r="AL879" t="s">
        <v>1368</v>
      </c>
      <c r="AM879" t="s">
        <v>866</v>
      </c>
      <c r="AN879" t="s">
        <v>1369</v>
      </c>
      <c r="AO879" t="s">
        <v>1370</v>
      </c>
      <c r="AP879" t="s">
        <v>74</v>
      </c>
      <c r="AQ879" t="s">
        <v>74</v>
      </c>
      <c r="AR879" t="s">
        <v>1371</v>
      </c>
      <c r="AS879" t="s">
        <v>1372</v>
      </c>
      <c r="AT879" t="s">
        <v>11304</v>
      </c>
      <c r="AU879">
        <v>1998</v>
      </c>
      <c r="AV879">
        <v>30</v>
      </c>
      <c r="AW879">
        <v>1</v>
      </c>
      <c r="AX879" t="s">
        <v>74</v>
      </c>
      <c r="AY879" t="s">
        <v>74</v>
      </c>
      <c r="AZ879" t="s">
        <v>74</v>
      </c>
      <c r="BA879" t="s">
        <v>74</v>
      </c>
      <c r="BB879">
        <v>163</v>
      </c>
      <c r="BC879">
        <v>172</v>
      </c>
      <c r="BD879" t="s">
        <v>74</v>
      </c>
      <c r="BE879" t="s">
        <v>11649</v>
      </c>
      <c r="BF879" t="str">
        <f>HYPERLINK("http://dx.doi.org/10.1023/A:1006019628406","http://dx.doi.org/10.1023/A:1006019628406")</f>
        <v>http://dx.doi.org/10.1023/A:1006019628406</v>
      </c>
      <c r="BG879" t="s">
        <v>74</v>
      </c>
      <c r="BH879" t="s">
        <v>74</v>
      </c>
      <c r="BI879">
        <v>10</v>
      </c>
      <c r="BJ879" t="s">
        <v>1374</v>
      </c>
      <c r="BK879" t="s">
        <v>95</v>
      </c>
      <c r="BL879" t="s">
        <v>1375</v>
      </c>
      <c r="BM879" t="s">
        <v>11629</v>
      </c>
      <c r="BN879" t="s">
        <v>74</v>
      </c>
      <c r="BO879" t="s">
        <v>74</v>
      </c>
      <c r="BP879" t="s">
        <v>74</v>
      </c>
      <c r="BQ879" t="s">
        <v>74</v>
      </c>
      <c r="BR879" t="s">
        <v>98</v>
      </c>
      <c r="BS879" t="s">
        <v>11650</v>
      </c>
      <c r="BT879" t="str">
        <f>HYPERLINK("https%3A%2F%2Fwww.webofscience.com%2Fwos%2Fwoscc%2Ffull-record%2FWOS:000074846600012","View Full Record in Web of Science")</f>
        <v>View Full Record in Web of Science</v>
      </c>
    </row>
    <row r="880" spans="1:72" x14ac:dyDescent="0.15">
      <c r="A880" t="s">
        <v>72</v>
      </c>
      <c r="B880" t="s">
        <v>11651</v>
      </c>
      <c r="C880" t="s">
        <v>74</v>
      </c>
      <c r="D880" t="s">
        <v>74</v>
      </c>
      <c r="E880" t="s">
        <v>74</v>
      </c>
      <c r="F880" t="s">
        <v>11651</v>
      </c>
      <c r="G880" t="s">
        <v>74</v>
      </c>
      <c r="H880" t="s">
        <v>74</v>
      </c>
      <c r="I880" t="s">
        <v>11652</v>
      </c>
      <c r="J880" t="s">
        <v>1406</v>
      </c>
      <c r="K880" t="s">
        <v>74</v>
      </c>
      <c r="L880" t="s">
        <v>74</v>
      </c>
      <c r="M880" t="s">
        <v>77</v>
      </c>
      <c r="N880" t="s">
        <v>103</v>
      </c>
      <c r="O880" t="s">
        <v>74</v>
      </c>
      <c r="P880" t="s">
        <v>74</v>
      </c>
      <c r="Q880" t="s">
        <v>74</v>
      </c>
      <c r="R880" t="s">
        <v>74</v>
      </c>
      <c r="S880" t="s">
        <v>74</v>
      </c>
      <c r="T880" t="s">
        <v>74</v>
      </c>
      <c r="U880" t="s">
        <v>11653</v>
      </c>
      <c r="V880" t="s">
        <v>11654</v>
      </c>
      <c r="W880" t="s">
        <v>11655</v>
      </c>
      <c r="X880" t="s">
        <v>11656</v>
      </c>
      <c r="Y880" t="s">
        <v>11657</v>
      </c>
      <c r="Z880" t="s">
        <v>11658</v>
      </c>
      <c r="AA880" t="s">
        <v>11659</v>
      </c>
      <c r="AB880" t="s">
        <v>11660</v>
      </c>
      <c r="AC880" t="s">
        <v>74</v>
      </c>
      <c r="AD880" t="s">
        <v>74</v>
      </c>
      <c r="AE880" t="s">
        <v>74</v>
      </c>
      <c r="AF880" t="s">
        <v>74</v>
      </c>
      <c r="AG880">
        <v>31</v>
      </c>
      <c r="AH880">
        <v>108</v>
      </c>
      <c r="AI880">
        <v>123</v>
      </c>
      <c r="AJ880">
        <v>0</v>
      </c>
      <c r="AK880">
        <v>10</v>
      </c>
      <c r="AL880" t="s">
        <v>1344</v>
      </c>
      <c r="AM880" t="s">
        <v>1345</v>
      </c>
      <c r="AN880" t="s">
        <v>1346</v>
      </c>
      <c r="AO880" t="s">
        <v>1414</v>
      </c>
      <c r="AP880" t="s">
        <v>9502</v>
      </c>
      <c r="AQ880" t="s">
        <v>74</v>
      </c>
      <c r="AR880" t="s">
        <v>1415</v>
      </c>
      <c r="AS880" t="s">
        <v>1416</v>
      </c>
      <c r="AT880" t="s">
        <v>11304</v>
      </c>
      <c r="AU880">
        <v>1998</v>
      </c>
      <c r="AV880">
        <v>11</v>
      </c>
      <c r="AW880">
        <v>5</v>
      </c>
      <c r="AX880" t="s">
        <v>74</v>
      </c>
      <c r="AY880" t="s">
        <v>74</v>
      </c>
      <c r="AZ880" t="s">
        <v>74</v>
      </c>
      <c r="BA880" t="s">
        <v>74</v>
      </c>
      <c r="BB880">
        <v>876</v>
      </c>
      <c r="BC880">
        <v>894</v>
      </c>
      <c r="BD880" t="s">
        <v>74</v>
      </c>
      <c r="BE880" t="s">
        <v>11661</v>
      </c>
      <c r="BF880" t="str">
        <f>HYPERLINK("http://dx.doi.org/10.1175/1520-0442(1998)011&lt;0876:CCATMA&gt;2.0.CO;2","http://dx.doi.org/10.1175/1520-0442(1998)011&lt;0876:CCATMA&gt;2.0.CO;2")</f>
        <v>http://dx.doi.org/10.1175/1520-0442(1998)011&lt;0876:CCATMA&gt;2.0.CO;2</v>
      </c>
      <c r="BG880" t="s">
        <v>74</v>
      </c>
      <c r="BH880" t="s">
        <v>74</v>
      </c>
      <c r="BI880">
        <v>19</v>
      </c>
      <c r="BJ880" t="s">
        <v>1418</v>
      </c>
      <c r="BK880" t="s">
        <v>95</v>
      </c>
      <c r="BL880" t="s">
        <v>1418</v>
      </c>
      <c r="BM880" t="s">
        <v>11662</v>
      </c>
      <c r="BN880" t="s">
        <v>74</v>
      </c>
      <c r="BO880" t="s">
        <v>1429</v>
      </c>
      <c r="BP880" t="s">
        <v>74</v>
      </c>
      <c r="BQ880" t="s">
        <v>74</v>
      </c>
      <c r="BR880" t="s">
        <v>98</v>
      </c>
      <c r="BS880" t="s">
        <v>11663</v>
      </c>
      <c r="BT880" t="str">
        <f>HYPERLINK("https%3A%2F%2Fwww.webofscience.com%2Fwos%2Fwoscc%2Ffull-record%2FWOS:000073762300008","View Full Record in Web of Science")</f>
        <v>View Full Record in Web of Science</v>
      </c>
    </row>
    <row r="881" spans="1:72" x14ac:dyDescent="0.15">
      <c r="A881" t="s">
        <v>72</v>
      </c>
      <c r="B881" t="s">
        <v>11664</v>
      </c>
      <c r="C881" t="s">
        <v>74</v>
      </c>
      <c r="D881" t="s">
        <v>74</v>
      </c>
      <c r="E881" t="s">
        <v>74</v>
      </c>
      <c r="F881" t="s">
        <v>11664</v>
      </c>
      <c r="G881" t="s">
        <v>74</v>
      </c>
      <c r="H881" t="s">
        <v>74</v>
      </c>
      <c r="I881" t="s">
        <v>11665</v>
      </c>
      <c r="J881" t="s">
        <v>1406</v>
      </c>
      <c r="K881" t="s">
        <v>74</v>
      </c>
      <c r="L881" t="s">
        <v>74</v>
      </c>
      <c r="M881" t="s">
        <v>77</v>
      </c>
      <c r="N881" t="s">
        <v>103</v>
      </c>
      <c r="O881" t="s">
        <v>74</v>
      </c>
      <c r="P881" t="s">
        <v>74</v>
      </c>
      <c r="Q881" t="s">
        <v>74</v>
      </c>
      <c r="R881" t="s">
        <v>74</v>
      </c>
      <c r="S881" t="s">
        <v>74</v>
      </c>
      <c r="T881" t="s">
        <v>74</v>
      </c>
      <c r="U881" t="s">
        <v>11666</v>
      </c>
      <c r="V881" t="s">
        <v>11667</v>
      </c>
      <c r="W881" t="s">
        <v>11668</v>
      </c>
      <c r="X881" t="s">
        <v>11669</v>
      </c>
      <c r="Y881" t="s">
        <v>11670</v>
      </c>
      <c r="Z881" t="s">
        <v>74</v>
      </c>
      <c r="AA881" t="s">
        <v>11659</v>
      </c>
      <c r="AB881" t="s">
        <v>11660</v>
      </c>
      <c r="AC881" t="s">
        <v>74</v>
      </c>
      <c r="AD881" t="s">
        <v>74</v>
      </c>
      <c r="AE881" t="s">
        <v>74</v>
      </c>
      <c r="AF881" t="s">
        <v>74</v>
      </c>
      <c r="AG881">
        <v>31</v>
      </c>
      <c r="AH881">
        <v>44</v>
      </c>
      <c r="AI881">
        <v>48</v>
      </c>
      <c r="AJ881">
        <v>1</v>
      </c>
      <c r="AK881">
        <v>5</v>
      </c>
      <c r="AL881" t="s">
        <v>1344</v>
      </c>
      <c r="AM881" t="s">
        <v>1345</v>
      </c>
      <c r="AN881" t="s">
        <v>1346</v>
      </c>
      <c r="AO881" t="s">
        <v>1414</v>
      </c>
      <c r="AP881" t="s">
        <v>74</v>
      </c>
      <c r="AQ881" t="s">
        <v>74</v>
      </c>
      <c r="AR881" t="s">
        <v>1415</v>
      </c>
      <c r="AS881" t="s">
        <v>1416</v>
      </c>
      <c r="AT881" t="s">
        <v>11304</v>
      </c>
      <c r="AU881">
        <v>1998</v>
      </c>
      <c r="AV881">
        <v>11</v>
      </c>
      <c r="AW881">
        <v>5</v>
      </c>
      <c r="AX881" t="s">
        <v>74</v>
      </c>
      <c r="AY881" t="s">
        <v>74</v>
      </c>
      <c r="AZ881" t="s">
        <v>74</v>
      </c>
      <c r="BA881" t="s">
        <v>74</v>
      </c>
      <c r="BB881">
        <v>895</v>
      </c>
      <c r="BC881">
        <v>918</v>
      </c>
      <c r="BD881" t="s">
        <v>74</v>
      </c>
      <c r="BE881" t="s">
        <v>11671</v>
      </c>
      <c r="BF881" t="str">
        <f>HYPERLINK("http://dx.doi.org/10.1175/1520-0442(1998)011&lt;0895:CCATMA&gt;2.0.CO;2","http://dx.doi.org/10.1175/1520-0442(1998)011&lt;0895:CCATMA&gt;2.0.CO;2")</f>
        <v>http://dx.doi.org/10.1175/1520-0442(1998)011&lt;0895:CCATMA&gt;2.0.CO;2</v>
      </c>
      <c r="BG881" t="s">
        <v>74</v>
      </c>
      <c r="BH881" t="s">
        <v>74</v>
      </c>
      <c r="BI881">
        <v>24</v>
      </c>
      <c r="BJ881" t="s">
        <v>1418</v>
      </c>
      <c r="BK881" t="s">
        <v>95</v>
      </c>
      <c r="BL881" t="s">
        <v>1418</v>
      </c>
      <c r="BM881" t="s">
        <v>11662</v>
      </c>
      <c r="BN881" t="s">
        <v>74</v>
      </c>
      <c r="BO881" t="s">
        <v>1429</v>
      </c>
      <c r="BP881" t="s">
        <v>74</v>
      </c>
      <c r="BQ881" t="s">
        <v>74</v>
      </c>
      <c r="BR881" t="s">
        <v>98</v>
      </c>
      <c r="BS881" t="s">
        <v>11672</v>
      </c>
      <c r="BT881" t="str">
        <f>HYPERLINK("https%3A%2F%2Fwww.webofscience.com%2Fwos%2Fwoscc%2Ffull-record%2FWOS:000073762300009","View Full Record in Web of Science")</f>
        <v>View Full Record in Web of Science</v>
      </c>
    </row>
    <row r="882" spans="1:72" x14ac:dyDescent="0.15">
      <c r="A882" t="s">
        <v>72</v>
      </c>
      <c r="B882" t="s">
        <v>11673</v>
      </c>
      <c r="C882" t="s">
        <v>74</v>
      </c>
      <c r="D882" t="s">
        <v>74</v>
      </c>
      <c r="E882" t="s">
        <v>74</v>
      </c>
      <c r="F882" t="s">
        <v>11673</v>
      </c>
      <c r="G882" t="s">
        <v>74</v>
      </c>
      <c r="H882" t="s">
        <v>74</v>
      </c>
      <c r="I882" t="s">
        <v>11674</v>
      </c>
      <c r="J882" t="s">
        <v>11675</v>
      </c>
      <c r="K882" t="s">
        <v>74</v>
      </c>
      <c r="L882" t="s">
        <v>74</v>
      </c>
      <c r="M882" t="s">
        <v>77</v>
      </c>
      <c r="N882" t="s">
        <v>103</v>
      </c>
      <c r="O882" t="s">
        <v>74</v>
      </c>
      <c r="P882" t="s">
        <v>74</v>
      </c>
      <c r="Q882" t="s">
        <v>74</v>
      </c>
      <c r="R882" t="s">
        <v>74</v>
      </c>
      <c r="S882" t="s">
        <v>74</v>
      </c>
      <c r="T882" t="s">
        <v>74</v>
      </c>
      <c r="U882" t="s">
        <v>11676</v>
      </c>
      <c r="V882" t="s">
        <v>11677</v>
      </c>
      <c r="W882" t="s">
        <v>11678</v>
      </c>
      <c r="X882" t="s">
        <v>11679</v>
      </c>
      <c r="Y882" t="s">
        <v>11680</v>
      </c>
      <c r="Z882" t="s">
        <v>11681</v>
      </c>
      <c r="AA882" t="s">
        <v>11682</v>
      </c>
      <c r="AB882" t="s">
        <v>11683</v>
      </c>
      <c r="AC882" t="s">
        <v>74</v>
      </c>
      <c r="AD882" t="s">
        <v>74</v>
      </c>
      <c r="AE882" t="s">
        <v>74</v>
      </c>
      <c r="AF882" t="s">
        <v>74</v>
      </c>
      <c r="AG882">
        <v>25</v>
      </c>
      <c r="AH882">
        <v>8</v>
      </c>
      <c r="AI882">
        <v>9</v>
      </c>
      <c r="AJ882">
        <v>0</v>
      </c>
      <c r="AK882">
        <v>3</v>
      </c>
      <c r="AL882" t="s">
        <v>4439</v>
      </c>
      <c r="AM882" t="s">
        <v>229</v>
      </c>
      <c r="AN882" t="s">
        <v>4440</v>
      </c>
      <c r="AO882" t="s">
        <v>11684</v>
      </c>
      <c r="AP882" t="s">
        <v>11685</v>
      </c>
      <c r="AQ882" t="s">
        <v>74</v>
      </c>
      <c r="AR882" t="s">
        <v>11686</v>
      </c>
      <c r="AS882" t="s">
        <v>11687</v>
      </c>
      <c r="AT882" t="s">
        <v>11304</v>
      </c>
      <c r="AU882">
        <v>1998</v>
      </c>
      <c r="AV882">
        <v>18</v>
      </c>
      <c r="AW882">
        <v>2</v>
      </c>
      <c r="AX882" t="s">
        <v>74</v>
      </c>
      <c r="AY882" t="s">
        <v>74</v>
      </c>
      <c r="AZ882" t="s">
        <v>74</v>
      </c>
      <c r="BA882" t="s">
        <v>74</v>
      </c>
      <c r="BB882">
        <v>290</v>
      </c>
      <c r="BC882">
        <v>297</v>
      </c>
      <c r="BD882" t="s">
        <v>74</v>
      </c>
      <c r="BE882" t="s">
        <v>11688</v>
      </c>
      <c r="BF882" t="str">
        <f>HYPERLINK("http://dx.doi.org/10.2307/1549322","http://dx.doi.org/10.2307/1549322")</f>
        <v>http://dx.doi.org/10.2307/1549322</v>
      </c>
      <c r="BG882" t="s">
        <v>74</v>
      </c>
      <c r="BH882" t="s">
        <v>74</v>
      </c>
      <c r="BI882">
        <v>8</v>
      </c>
      <c r="BJ882" t="s">
        <v>1230</v>
      </c>
      <c r="BK882" t="s">
        <v>95</v>
      </c>
      <c r="BL882" t="s">
        <v>1230</v>
      </c>
      <c r="BM882" t="s">
        <v>11689</v>
      </c>
      <c r="BN882" t="s">
        <v>74</v>
      </c>
      <c r="BO882" t="s">
        <v>1089</v>
      </c>
      <c r="BP882" t="s">
        <v>74</v>
      </c>
      <c r="BQ882" t="s">
        <v>74</v>
      </c>
      <c r="BR882" t="s">
        <v>98</v>
      </c>
      <c r="BS882" t="s">
        <v>11690</v>
      </c>
      <c r="BT882" t="str">
        <f>HYPERLINK("https%3A%2F%2Fwww.webofscience.com%2Fwos%2Fwoscc%2Ffull-record%2FWOS:000073607900008","View Full Record in Web of Science")</f>
        <v>View Full Record in Web of Science</v>
      </c>
    </row>
    <row r="883" spans="1:72" x14ac:dyDescent="0.15">
      <c r="A883" t="s">
        <v>72</v>
      </c>
      <c r="B883" t="s">
        <v>11691</v>
      </c>
      <c r="C883" t="s">
        <v>74</v>
      </c>
      <c r="D883" t="s">
        <v>74</v>
      </c>
      <c r="E883" t="s">
        <v>74</v>
      </c>
      <c r="F883" t="s">
        <v>11691</v>
      </c>
      <c r="G883" t="s">
        <v>74</v>
      </c>
      <c r="H883" t="s">
        <v>74</v>
      </c>
      <c r="I883" t="s">
        <v>11692</v>
      </c>
      <c r="J883" t="s">
        <v>11693</v>
      </c>
      <c r="K883" t="s">
        <v>74</v>
      </c>
      <c r="L883" t="s">
        <v>74</v>
      </c>
      <c r="M883" t="s">
        <v>77</v>
      </c>
      <c r="N883" t="s">
        <v>103</v>
      </c>
      <c r="O883" t="s">
        <v>74</v>
      </c>
      <c r="P883" t="s">
        <v>74</v>
      </c>
      <c r="Q883" t="s">
        <v>74</v>
      </c>
      <c r="R883" t="s">
        <v>74</v>
      </c>
      <c r="S883" t="s">
        <v>74</v>
      </c>
      <c r="T883" t="s">
        <v>74</v>
      </c>
      <c r="U883" t="s">
        <v>11694</v>
      </c>
      <c r="V883" t="s">
        <v>11695</v>
      </c>
      <c r="W883" t="s">
        <v>11696</v>
      </c>
      <c r="X883" t="s">
        <v>11697</v>
      </c>
      <c r="Y883" t="s">
        <v>11698</v>
      </c>
      <c r="Z883" t="s">
        <v>11699</v>
      </c>
      <c r="AA883" t="s">
        <v>11700</v>
      </c>
      <c r="AB883" t="s">
        <v>74</v>
      </c>
      <c r="AC883" t="s">
        <v>74</v>
      </c>
      <c r="AD883" t="s">
        <v>74</v>
      </c>
      <c r="AE883" t="s">
        <v>74</v>
      </c>
      <c r="AF883" t="s">
        <v>74</v>
      </c>
      <c r="AG883">
        <v>27</v>
      </c>
      <c r="AH883">
        <v>6</v>
      </c>
      <c r="AI883">
        <v>7</v>
      </c>
      <c r="AJ883">
        <v>0</v>
      </c>
      <c r="AK883">
        <v>4</v>
      </c>
      <c r="AL883" t="s">
        <v>277</v>
      </c>
      <c r="AM883" t="s">
        <v>656</v>
      </c>
      <c r="AN883" t="s">
        <v>11701</v>
      </c>
      <c r="AO883" t="s">
        <v>11702</v>
      </c>
      <c r="AP883" t="s">
        <v>74</v>
      </c>
      <c r="AQ883" t="s">
        <v>74</v>
      </c>
      <c r="AR883" t="s">
        <v>11703</v>
      </c>
      <c r="AS883" t="s">
        <v>11704</v>
      </c>
      <c r="AT883" t="s">
        <v>11539</v>
      </c>
      <c r="AU883">
        <v>1998</v>
      </c>
      <c r="AV883">
        <v>281</v>
      </c>
      <c r="AW883">
        <v>1</v>
      </c>
      <c r="AX883" t="s">
        <v>74</v>
      </c>
      <c r="AY883" t="s">
        <v>74</v>
      </c>
      <c r="AZ883" t="s">
        <v>74</v>
      </c>
      <c r="BA883" t="s">
        <v>74</v>
      </c>
      <c r="BB883">
        <v>6</v>
      </c>
      <c r="BC883">
        <v>11</v>
      </c>
      <c r="BD883" t="s">
        <v>74</v>
      </c>
      <c r="BE883" t="s">
        <v>11705</v>
      </c>
      <c r="BF883" t="str">
        <f>HYPERLINK("http://dx.doi.org/10.1002/(SICI)1097-010X(19980501)281:1&lt;6::AID-JEZ2&gt;3.0.CO;2-S","http://dx.doi.org/10.1002/(SICI)1097-010X(19980501)281:1&lt;6::AID-JEZ2&gt;3.0.CO;2-S")</f>
        <v>http://dx.doi.org/10.1002/(SICI)1097-010X(19980501)281:1&lt;6::AID-JEZ2&gt;3.0.CO;2-S</v>
      </c>
      <c r="BG883" t="s">
        <v>74</v>
      </c>
      <c r="BH883" t="s">
        <v>74</v>
      </c>
      <c r="BI883">
        <v>6</v>
      </c>
      <c r="BJ883" t="s">
        <v>117</v>
      </c>
      <c r="BK883" t="s">
        <v>95</v>
      </c>
      <c r="BL883" t="s">
        <v>117</v>
      </c>
      <c r="BM883" t="s">
        <v>11706</v>
      </c>
      <c r="BN883" t="s">
        <v>74</v>
      </c>
      <c r="BO883" t="s">
        <v>74</v>
      </c>
      <c r="BP883" t="s">
        <v>74</v>
      </c>
      <c r="BQ883" t="s">
        <v>74</v>
      </c>
      <c r="BR883" t="s">
        <v>98</v>
      </c>
      <c r="BS883" t="s">
        <v>11707</v>
      </c>
      <c r="BT883" t="str">
        <f>HYPERLINK("https%3A%2F%2Fwww.webofscience.com%2Fwos%2Fwoscc%2Ffull-record%2FWOS:000073211300002","View Full Record in Web of Science")</f>
        <v>View Full Record in Web of Science</v>
      </c>
    </row>
    <row r="884" spans="1:72" x14ac:dyDescent="0.15">
      <c r="A884" t="s">
        <v>72</v>
      </c>
      <c r="B884" t="s">
        <v>11708</v>
      </c>
      <c r="C884" t="s">
        <v>74</v>
      </c>
      <c r="D884" t="s">
        <v>74</v>
      </c>
      <c r="E884" t="s">
        <v>74</v>
      </c>
      <c r="F884" t="s">
        <v>11708</v>
      </c>
      <c r="G884" t="s">
        <v>74</v>
      </c>
      <c r="H884" t="s">
        <v>74</v>
      </c>
      <c r="I884" t="s">
        <v>11709</v>
      </c>
      <c r="J884" t="s">
        <v>11710</v>
      </c>
      <c r="K884" t="s">
        <v>74</v>
      </c>
      <c r="L884" t="s">
        <v>74</v>
      </c>
      <c r="M884" t="s">
        <v>77</v>
      </c>
      <c r="N884" t="s">
        <v>103</v>
      </c>
      <c r="O884" t="s">
        <v>74</v>
      </c>
      <c r="P884" t="s">
        <v>74</v>
      </c>
      <c r="Q884" t="s">
        <v>74</v>
      </c>
      <c r="R884" t="s">
        <v>74</v>
      </c>
      <c r="S884" t="s">
        <v>74</v>
      </c>
      <c r="T884" t="s">
        <v>74</v>
      </c>
      <c r="U884" t="s">
        <v>11711</v>
      </c>
      <c r="V884" t="s">
        <v>11712</v>
      </c>
      <c r="W884" t="s">
        <v>11713</v>
      </c>
      <c r="X884" t="s">
        <v>11714</v>
      </c>
      <c r="Y884" t="s">
        <v>11715</v>
      </c>
      <c r="Z884" t="s">
        <v>74</v>
      </c>
      <c r="AA884" t="s">
        <v>11716</v>
      </c>
      <c r="AB884" t="s">
        <v>11717</v>
      </c>
      <c r="AC884" t="s">
        <v>74</v>
      </c>
      <c r="AD884" t="s">
        <v>74</v>
      </c>
      <c r="AE884" t="s">
        <v>74</v>
      </c>
      <c r="AF884" t="s">
        <v>74</v>
      </c>
      <c r="AG884">
        <v>149</v>
      </c>
      <c r="AH884">
        <v>16</v>
      </c>
      <c r="AI884">
        <v>17</v>
      </c>
      <c r="AJ884">
        <v>1</v>
      </c>
      <c r="AK884">
        <v>8</v>
      </c>
      <c r="AL884" t="s">
        <v>445</v>
      </c>
      <c r="AM884" t="s">
        <v>229</v>
      </c>
      <c r="AN884" t="s">
        <v>446</v>
      </c>
      <c r="AO884" t="s">
        <v>11718</v>
      </c>
      <c r="AP884" t="s">
        <v>74</v>
      </c>
      <c r="AQ884" t="s">
        <v>74</v>
      </c>
      <c r="AR884" t="s">
        <v>11719</v>
      </c>
      <c r="AS884" t="s">
        <v>11720</v>
      </c>
      <c r="AT884" t="s">
        <v>11721</v>
      </c>
      <c r="AU884">
        <v>1998</v>
      </c>
      <c r="AV884">
        <v>25</v>
      </c>
      <c r="AW884" t="s">
        <v>1282</v>
      </c>
      <c r="AX884" t="s">
        <v>74</v>
      </c>
      <c r="AY884" t="s">
        <v>74</v>
      </c>
      <c r="AZ884" t="s">
        <v>74</v>
      </c>
      <c r="BA884" t="s">
        <v>74</v>
      </c>
      <c r="BB884">
        <v>263</v>
      </c>
      <c r="BC884">
        <v>301</v>
      </c>
      <c r="BD884" t="s">
        <v>74</v>
      </c>
      <c r="BE884" t="s">
        <v>11722</v>
      </c>
      <c r="BF884" t="str">
        <f>HYPERLINK("http://dx.doi.org/10.1016/S0264-3707(97)00032-X","http://dx.doi.org/10.1016/S0264-3707(97)00032-X")</f>
        <v>http://dx.doi.org/10.1016/S0264-3707(97)00032-X</v>
      </c>
      <c r="BG884" t="s">
        <v>74</v>
      </c>
      <c r="BH884" t="s">
        <v>74</v>
      </c>
      <c r="BI884">
        <v>39</v>
      </c>
      <c r="BJ884" t="s">
        <v>303</v>
      </c>
      <c r="BK884" t="s">
        <v>95</v>
      </c>
      <c r="BL884" t="s">
        <v>303</v>
      </c>
      <c r="BM884" t="s">
        <v>11723</v>
      </c>
      <c r="BN884" t="s">
        <v>74</v>
      </c>
      <c r="BO884" t="s">
        <v>74</v>
      </c>
      <c r="BP884" t="s">
        <v>74</v>
      </c>
      <c r="BQ884" t="s">
        <v>74</v>
      </c>
      <c r="BR884" t="s">
        <v>98</v>
      </c>
      <c r="BS884" t="s">
        <v>11724</v>
      </c>
      <c r="BT884" t="str">
        <f>HYPERLINK("https%3A%2F%2Fwww.webofscience.com%2Fwos%2Fwoscc%2Ffull-record%2FWOS:000074287800007","View Full Record in Web of Science")</f>
        <v>View Full Record in Web of Science</v>
      </c>
    </row>
    <row r="885" spans="1:72" x14ac:dyDescent="0.15">
      <c r="A885" t="s">
        <v>72</v>
      </c>
      <c r="B885" t="s">
        <v>11725</v>
      </c>
      <c r="C885" t="s">
        <v>74</v>
      </c>
      <c r="D885" t="s">
        <v>74</v>
      </c>
      <c r="E885" t="s">
        <v>74</v>
      </c>
      <c r="F885" t="s">
        <v>11725</v>
      </c>
      <c r="G885" t="s">
        <v>74</v>
      </c>
      <c r="H885" t="s">
        <v>74</v>
      </c>
      <c r="I885" t="s">
        <v>11726</v>
      </c>
      <c r="J885" t="s">
        <v>1450</v>
      </c>
      <c r="K885" t="s">
        <v>74</v>
      </c>
      <c r="L885" t="s">
        <v>74</v>
      </c>
      <c r="M885" t="s">
        <v>77</v>
      </c>
      <c r="N885" t="s">
        <v>103</v>
      </c>
      <c r="O885" t="s">
        <v>74</v>
      </c>
      <c r="P885" t="s">
        <v>74</v>
      </c>
      <c r="Q885" t="s">
        <v>74</v>
      </c>
      <c r="R885" t="s">
        <v>74</v>
      </c>
      <c r="S885" t="s">
        <v>74</v>
      </c>
      <c r="T885" t="s">
        <v>74</v>
      </c>
      <c r="U885" t="s">
        <v>11727</v>
      </c>
      <c r="V885" t="s">
        <v>11728</v>
      </c>
      <c r="W885" t="s">
        <v>11729</v>
      </c>
      <c r="X885" t="s">
        <v>11730</v>
      </c>
      <c r="Y885" t="s">
        <v>11731</v>
      </c>
      <c r="Z885" t="s">
        <v>74</v>
      </c>
      <c r="AA885" t="s">
        <v>11732</v>
      </c>
      <c r="AB885" t="s">
        <v>11733</v>
      </c>
      <c r="AC885" t="s">
        <v>74</v>
      </c>
      <c r="AD885" t="s">
        <v>74</v>
      </c>
      <c r="AE885" t="s">
        <v>74</v>
      </c>
      <c r="AF885" t="s">
        <v>74</v>
      </c>
      <c r="AG885">
        <v>20</v>
      </c>
      <c r="AH885">
        <v>9</v>
      </c>
      <c r="AI885">
        <v>10</v>
      </c>
      <c r="AJ885">
        <v>0</v>
      </c>
      <c r="AK885">
        <v>1</v>
      </c>
      <c r="AL885" t="s">
        <v>966</v>
      </c>
      <c r="AM885" t="s">
        <v>967</v>
      </c>
      <c r="AN885" t="s">
        <v>968</v>
      </c>
      <c r="AO885" t="s">
        <v>74</v>
      </c>
      <c r="AP885" t="s">
        <v>74</v>
      </c>
      <c r="AQ885" t="s">
        <v>74</v>
      </c>
      <c r="AR885" t="s">
        <v>1460</v>
      </c>
      <c r="AS885" t="s">
        <v>1461</v>
      </c>
      <c r="AT885" t="s">
        <v>11539</v>
      </c>
      <c r="AU885">
        <v>1998</v>
      </c>
      <c r="AV885">
        <v>103</v>
      </c>
      <c r="AW885" t="s">
        <v>11734</v>
      </c>
      <c r="AX885" t="s">
        <v>74</v>
      </c>
      <c r="AY885" t="s">
        <v>74</v>
      </c>
      <c r="AZ885" t="s">
        <v>74</v>
      </c>
      <c r="BA885" t="s">
        <v>74</v>
      </c>
      <c r="BB885">
        <v>9473</v>
      </c>
      <c r="BC885">
        <v>9480</v>
      </c>
      <c r="BD885" t="s">
        <v>74</v>
      </c>
      <c r="BE885" t="s">
        <v>11735</v>
      </c>
      <c r="BF885" t="str">
        <f>HYPERLINK("http://dx.doi.org/10.1029/97JA03336","http://dx.doi.org/10.1029/97JA03336")</f>
        <v>http://dx.doi.org/10.1029/97JA03336</v>
      </c>
      <c r="BG885" t="s">
        <v>74</v>
      </c>
      <c r="BH885" t="s">
        <v>74</v>
      </c>
      <c r="BI885">
        <v>8</v>
      </c>
      <c r="BJ885" t="s">
        <v>1464</v>
      </c>
      <c r="BK885" t="s">
        <v>95</v>
      </c>
      <c r="BL885" t="s">
        <v>1464</v>
      </c>
      <c r="BM885" t="s">
        <v>11736</v>
      </c>
      <c r="BN885" t="s">
        <v>74</v>
      </c>
      <c r="BO885" t="s">
        <v>1938</v>
      </c>
      <c r="BP885" t="s">
        <v>74</v>
      </c>
      <c r="BQ885" t="s">
        <v>74</v>
      </c>
      <c r="BR885" t="s">
        <v>98</v>
      </c>
      <c r="BS885" t="s">
        <v>11737</v>
      </c>
      <c r="BT885" t="str">
        <f>HYPERLINK("https%3A%2F%2Fwww.webofscience.com%2Fwos%2Fwoscc%2Ffull-record%2FWOS:000073430300037","View Full Record in Web of Science")</f>
        <v>View Full Record in Web of Science</v>
      </c>
    </row>
    <row r="886" spans="1:72" x14ac:dyDescent="0.15">
      <c r="A886" t="s">
        <v>72</v>
      </c>
      <c r="B886" t="s">
        <v>11738</v>
      </c>
      <c r="C886" t="s">
        <v>74</v>
      </c>
      <c r="D886" t="s">
        <v>74</v>
      </c>
      <c r="E886" t="s">
        <v>74</v>
      </c>
      <c r="F886" t="s">
        <v>11738</v>
      </c>
      <c r="G886" t="s">
        <v>74</v>
      </c>
      <c r="H886" t="s">
        <v>74</v>
      </c>
      <c r="I886" t="s">
        <v>11739</v>
      </c>
      <c r="J886" t="s">
        <v>11740</v>
      </c>
      <c r="K886" t="s">
        <v>74</v>
      </c>
      <c r="L886" t="s">
        <v>74</v>
      </c>
      <c r="M886" t="s">
        <v>77</v>
      </c>
      <c r="N886" t="s">
        <v>103</v>
      </c>
      <c r="O886" t="s">
        <v>74</v>
      </c>
      <c r="P886" t="s">
        <v>74</v>
      </c>
      <c r="Q886" t="s">
        <v>74</v>
      </c>
      <c r="R886" t="s">
        <v>74</v>
      </c>
      <c r="S886" t="s">
        <v>74</v>
      </c>
      <c r="T886" t="s">
        <v>74</v>
      </c>
      <c r="U886" t="s">
        <v>11741</v>
      </c>
      <c r="V886" t="s">
        <v>11742</v>
      </c>
      <c r="W886" t="s">
        <v>11743</v>
      </c>
      <c r="X886" t="s">
        <v>11744</v>
      </c>
      <c r="Y886" t="s">
        <v>11745</v>
      </c>
      <c r="Z886" t="s">
        <v>11746</v>
      </c>
      <c r="AA886" t="s">
        <v>11747</v>
      </c>
      <c r="AB886" t="s">
        <v>74</v>
      </c>
      <c r="AC886" t="s">
        <v>74</v>
      </c>
      <c r="AD886" t="s">
        <v>74</v>
      </c>
      <c r="AE886" t="s">
        <v>74</v>
      </c>
      <c r="AF886" t="s">
        <v>74</v>
      </c>
      <c r="AG886">
        <v>41</v>
      </c>
      <c r="AH886">
        <v>15</v>
      </c>
      <c r="AI886">
        <v>15</v>
      </c>
      <c r="AJ886">
        <v>0</v>
      </c>
      <c r="AK886">
        <v>1</v>
      </c>
      <c r="AL886" t="s">
        <v>11748</v>
      </c>
      <c r="AM886" t="s">
        <v>278</v>
      </c>
      <c r="AN886" t="s">
        <v>11749</v>
      </c>
      <c r="AO886" t="s">
        <v>11750</v>
      </c>
      <c r="AP886" t="s">
        <v>11751</v>
      </c>
      <c r="AQ886" t="s">
        <v>74</v>
      </c>
      <c r="AR886" t="s">
        <v>11752</v>
      </c>
      <c r="AS886" t="s">
        <v>11753</v>
      </c>
      <c r="AT886" t="s">
        <v>11304</v>
      </c>
      <c r="AU886">
        <v>1998</v>
      </c>
      <c r="AV886">
        <v>120</v>
      </c>
      <c r="AW886">
        <v>2</v>
      </c>
      <c r="AX886" t="s">
        <v>74</v>
      </c>
      <c r="AY886" t="s">
        <v>74</v>
      </c>
      <c r="AZ886" t="s">
        <v>74</v>
      </c>
      <c r="BA886" t="s">
        <v>74</v>
      </c>
      <c r="BB886">
        <v>77</v>
      </c>
      <c r="BC886">
        <v>84</v>
      </c>
      <c r="BD886" t="s">
        <v>74</v>
      </c>
      <c r="BE886" t="s">
        <v>11754</v>
      </c>
      <c r="BF886" t="str">
        <f>HYPERLINK("http://dx.doi.org/10.1115/1.2829527","http://dx.doi.org/10.1115/1.2829527")</f>
        <v>http://dx.doi.org/10.1115/1.2829527</v>
      </c>
      <c r="BG886" t="s">
        <v>74</v>
      </c>
      <c r="BH886" t="s">
        <v>74</v>
      </c>
      <c r="BI886">
        <v>8</v>
      </c>
      <c r="BJ886" t="s">
        <v>11755</v>
      </c>
      <c r="BK886" t="s">
        <v>95</v>
      </c>
      <c r="BL886" t="s">
        <v>321</v>
      </c>
      <c r="BM886" t="s">
        <v>11756</v>
      </c>
      <c r="BN886" t="s">
        <v>74</v>
      </c>
      <c r="BO886" t="s">
        <v>74</v>
      </c>
      <c r="BP886" t="s">
        <v>74</v>
      </c>
      <c r="BQ886" t="s">
        <v>74</v>
      </c>
      <c r="BR886" t="s">
        <v>98</v>
      </c>
      <c r="BS886" t="s">
        <v>11757</v>
      </c>
      <c r="BT886" t="str">
        <f>HYPERLINK("https%3A%2F%2Fwww.webofscience.com%2Fwos%2Fwoscc%2Ffull-record%2FWOS:000073779100003","View Full Record in Web of Science")</f>
        <v>View Full Record in Web of Science</v>
      </c>
    </row>
    <row r="887" spans="1:72" x14ac:dyDescent="0.15">
      <c r="A887" t="s">
        <v>72</v>
      </c>
      <c r="B887" t="s">
        <v>11758</v>
      </c>
      <c r="C887" t="s">
        <v>74</v>
      </c>
      <c r="D887" t="s">
        <v>74</v>
      </c>
      <c r="E887" t="s">
        <v>74</v>
      </c>
      <c r="F887" t="s">
        <v>11758</v>
      </c>
      <c r="G887" t="s">
        <v>74</v>
      </c>
      <c r="H887" t="s">
        <v>74</v>
      </c>
      <c r="I887" t="s">
        <v>11759</v>
      </c>
      <c r="J887" t="s">
        <v>11760</v>
      </c>
      <c r="K887" t="s">
        <v>74</v>
      </c>
      <c r="L887" t="s">
        <v>74</v>
      </c>
      <c r="M887" t="s">
        <v>77</v>
      </c>
      <c r="N887" t="s">
        <v>103</v>
      </c>
      <c r="O887" t="s">
        <v>74</v>
      </c>
      <c r="P887" t="s">
        <v>74</v>
      </c>
      <c r="Q887" t="s">
        <v>74</v>
      </c>
      <c r="R887" t="s">
        <v>74</v>
      </c>
      <c r="S887" t="s">
        <v>74</v>
      </c>
      <c r="T887" t="s">
        <v>74</v>
      </c>
      <c r="U887" t="s">
        <v>11761</v>
      </c>
      <c r="V887" t="s">
        <v>11762</v>
      </c>
      <c r="W887" t="s">
        <v>11763</v>
      </c>
      <c r="X887" t="s">
        <v>5719</v>
      </c>
      <c r="Y887" t="s">
        <v>11764</v>
      </c>
      <c r="Z887" t="s">
        <v>74</v>
      </c>
      <c r="AA887" t="s">
        <v>74</v>
      </c>
      <c r="AB887" t="s">
        <v>74</v>
      </c>
      <c r="AC887" t="s">
        <v>74</v>
      </c>
      <c r="AD887" t="s">
        <v>74</v>
      </c>
      <c r="AE887" t="s">
        <v>74</v>
      </c>
      <c r="AF887" t="s">
        <v>74</v>
      </c>
      <c r="AG887">
        <v>91</v>
      </c>
      <c r="AH887">
        <v>52</v>
      </c>
      <c r="AI887">
        <v>58</v>
      </c>
      <c r="AJ887">
        <v>0</v>
      </c>
      <c r="AK887">
        <v>8</v>
      </c>
      <c r="AL887" t="s">
        <v>4587</v>
      </c>
      <c r="AM887" t="s">
        <v>4407</v>
      </c>
      <c r="AN887" t="s">
        <v>4408</v>
      </c>
      <c r="AO887" t="s">
        <v>11765</v>
      </c>
      <c r="AP887" t="s">
        <v>74</v>
      </c>
      <c r="AQ887" t="s">
        <v>74</v>
      </c>
      <c r="AR887" t="s">
        <v>11766</v>
      </c>
      <c r="AS887" t="s">
        <v>11767</v>
      </c>
      <c r="AT887" t="s">
        <v>11304</v>
      </c>
      <c r="AU887">
        <v>1998</v>
      </c>
      <c r="AV887">
        <v>72</v>
      </c>
      <c r="AW887">
        <v>3</v>
      </c>
      <c r="AX887" t="s">
        <v>74</v>
      </c>
      <c r="AY887" t="s">
        <v>74</v>
      </c>
      <c r="AZ887" t="s">
        <v>74</v>
      </c>
      <c r="BA887" t="s">
        <v>74</v>
      </c>
      <c r="BB887">
        <v>556</v>
      </c>
      <c r="BC887">
        <v>571</v>
      </c>
      <c r="BD887" t="s">
        <v>74</v>
      </c>
      <c r="BE887" t="s">
        <v>11768</v>
      </c>
      <c r="BF887" t="str">
        <f>HYPERLINK("http://dx.doi.org/10.1017/S0022336000024331","http://dx.doi.org/10.1017/S0022336000024331")</f>
        <v>http://dx.doi.org/10.1017/S0022336000024331</v>
      </c>
      <c r="BG887" t="s">
        <v>74</v>
      </c>
      <c r="BH887" t="s">
        <v>74</v>
      </c>
      <c r="BI887">
        <v>16</v>
      </c>
      <c r="BJ887" t="s">
        <v>2287</v>
      </c>
      <c r="BK887" t="s">
        <v>95</v>
      </c>
      <c r="BL887" t="s">
        <v>2287</v>
      </c>
      <c r="BM887" t="s">
        <v>11769</v>
      </c>
      <c r="BN887" t="s">
        <v>74</v>
      </c>
      <c r="BO887" t="s">
        <v>74</v>
      </c>
      <c r="BP887" t="s">
        <v>74</v>
      </c>
      <c r="BQ887" t="s">
        <v>74</v>
      </c>
      <c r="BR887" t="s">
        <v>98</v>
      </c>
      <c r="BS887" t="s">
        <v>11770</v>
      </c>
      <c r="BT887" t="str">
        <f>HYPERLINK("https%3A%2F%2Fwww.webofscience.com%2Fwos%2Fwoscc%2Ffull-record%2FWOS:000073609400019","View Full Record in Web of Science")</f>
        <v>View Full Record in Web of Science</v>
      </c>
    </row>
    <row r="888" spans="1:72" x14ac:dyDescent="0.15">
      <c r="A888" t="s">
        <v>72</v>
      </c>
      <c r="B888" t="s">
        <v>11771</v>
      </c>
      <c r="C888" t="s">
        <v>74</v>
      </c>
      <c r="D888" t="s">
        <v>74</v>
      </c>
      <c r="E888" t="s">
        <v>74</v>
      </c>
      <c r="F888" t="s">
        <v>11771</v>
      </c>
      <c r="G888" t="s">
        <v>74</v>
      </c>
      <c r="H888" t="s">
        <v>74</v>
      </c>
      <c r="I888" t="s">
        <v>11772</v>
      </c>
      <c r="J888" t="s">
        <v>4418</v>
      </c>
      <c r="K888" t="s">
        <v>74</v>
      </c>
      <c r="L888" t="s">
        <v>74</v>
      </c>
      <c r="M888" t="s">
        <v>77</v>
      </c>
      <c r="N888" t="s">
        <v>103</v>
      </c>
      <c r="O888" t="s">
        <v>74</v>
      </c>
      <c r="P888" t="s">
        <v>74</v>
      </c>
      <c r="Q888" t="s">
        <v>74</v>
      </c>
      <c r="R888" t="s">
        <v>74</v>
      </c>
      <c r="S888" t="s">
        <v>74</v>
      </c>
      <c r="T888" t="s">
        <v>74</v>
      </c>
      <c r="U888" t="s">
        <v>11773</v>
      </c>
      <c r="V888" t="s">
        <v>11774</v>
      </c>
      <c r="W888" t="s">
        <v>11775</v>
      </c>
      <c r="X888" t="s">
        <v>11776</v>
      </c>
      <c r="Y888" t="s">
        <v>11777</v>
      </c>
      <c r="Z888" t="s">
        <v>74</v>
      </c>
      <c r="AA888" t="s">
        <v>11778</v>
      </c>
      <c r="AB888" t="s">
        <v>11779</v>
      </c>
      <c r="AC888" t="s">
        <v>74</v>
      </c>
      <c r="AD888" t="s">
        <v>74</v>
      </c>
      <c r="AE888" t="s">
        <v>74</v>
      </c>
      <c r="AF888" t="s">
        <v>74</v>
      </c>
      <c r="AG888">
        <v>29</v>
      </c>
      <c r="AH888">
        <v>74</v>
      </c>
      <c r="AI888">
        <v>78</v>
      </c>
      <c r="AJ888">
        <v>1</v>
      </c>
      <c r="AK888">
        <v>8</v>
      </c>
      <c r="AL888" t="s">
        <v>1344</v>
      </c>
      <c r="AM888" t="s">
        <v>1345</v>
      </c>
      <c r="AN888" t="s">
        <v>1346</v>
      </c>
      <c r="AO888" t="s">
        <v>4423</v>
      </c>
      <c r="AP888" t="s">
        <v>74</v>
      </c>
      <c r="AQ888" t="s">
        <v>74</v>
      </c>
      <c r="AR888" t="s">
        <v>4424</v>
      </c>
      <c r="AS888" t="s">
        <v>4425</v>
      </c>
      <c r="AT888" t="s">
        <v>11304</v>
      </c>
      <c r="AU888">
        <v>1998</v>
      </c>
      <c r="AV888">
        <v>28</v>
      </c>
      <c r="AW888">
        <v>5</v>
      </c>
      <c r="AX888" t="s">
        <v>74</v>
      </c>
      <c r="AY888" t="s">
        <v>74</v>
      </c>
      <c r="AZ888" t="s">
        <v>74</v>
      </c>
      <c r="BA888" t="s">
        <v>74</v>
      </c>
      <c r="BB888">
        <v>779</v>
      </c>
      <c r="BC888">
        <v>790</v>
      </c>
      <c r="BD888" t="s">
        <v>74</v>
      </c>
      <c r="BE888" t="s">
        <v>11780</v>
      </c>
      <c r="BF888" t="str">
        <f>HYPERLINK("http://dx.doi.org/10.1175/1520-0485(1998)028&lt;0779:TOBWIT&gt;2.0.CO;2","http://dx.doi.org/10.1175/1520-0485(1998)028&lt;0779:TOBWIT&gt;2.0.CO;2")</f>
        <v>http://dx.doi.org/10.1175/1520-0485(1998)028&lt;0779:TOBWIT&gt;2.0.CO;2</v>
      </c>
      <c r="BG888" t="s">
        <v>74</v>
      </c>
      <c r="BH888" t="s">
        <v>74</v>
      </c>
      <c r="BI888">
        <v>12</v>
      </c>
      <c r="BJ888" t="s">
        <v>451</v>
      </c>
      <c r="BK888" t="s">
        <v>95</v>
      </c>
      <c r="BL888" t="s">
        <v>451</v>
      </c>
      <c r="BM888" t="s">
        <v>11781</v>
      </c>
      <c r="BN888" t="s">
        <v>74</v>
      </c>
      <c r="BO888" t="s">
        <v>1429</v>
      </c>
      <c r="BP888" t="s">
        <v>74</v>
      </c>
      <c r="BQ888" t="s">
        <v>74</v>
      </c>
      <c r="BR888" t="s">
        <v>98</v>
      </c>
      <c r="BS888" t="s">
        <v>11782</v>
      </c>
      <c r="BT888" t="str">
        <f>HYPERLINK("https%3A%2F%2Fwww.webofscience.com%2Fwos%2Fwoscc%2Ffull-record%2FWOS:000073762900003","View Full Record in Web of Science")</f>
        <v>View Full Record in Web of Science</v>
      </c>
    </row>
    <row r="889" spans="1:72" x14ac:dyDescent="0.15">
      <c r="A889" t="s">
        <v>72</v>
      </c>
      <c r="B889" t="s">
        <v>11783</v>
      </c>
      <c r="C889" t="s">
        <v>74</v>
      </c>
      <c r="D889" t="s">
        <v>74</v>
      </c>
      <c r="E889" t="s">
        <v>74</v>
      </c>
      <c r="F889" t="s">
        <v>11783</v>
      </c>
      <c r="G889" t="s">
        <v>74</v>
      </c>
      <c r="H889" t="s">
        <v>74</v>
      </c>
      <c r="I889" t="s">
        <v>11784</v>
      </c>
      <c r="J889" t="s">
        <v>4418</v>
      </c>
      <c r="K889" t="s">
        <v>74</v>
      </c>
      <c r="L889" t="s">
        <v>74</v>
      </c>
      <c r="M889" t="s">
        <v>77</v>
      </c>
      <c r="N889" t="s">
        <v>103</v>
      </c>
      <c r="O889" t="s">
        <v>74</v>
      </c>
      <c r="P889" t="s">
        <v>74</v>
      </c>
      <c r="Q889" t="s">
        <v>74</v>
      </c>
      <c r="R889" t="s">
        <v>74</v>
      </c>
      <c r="S889" t="s">
        <v>74</v>
      </c>
      <c r="T889" t="s">
        <v>74</v>
      </c>
      <c r="U889" t="s">
        <v>11785</v>
      </c>
      <c r="V889" t="s">
        <v>11786</v>
      </c>
      <c r="W889" t="s">
        <v>2756</v>
      </c>
      <c r="X889" t="s">
        <v>2757</v>
      </c>
      <c r="Y889" t="s">
        <v>11787</v>
      </c>
      <c r="Z889" t="s">
        <v>74</v>
      </c>
      <c r="AA889" t="s">
        <v>74</v>
      </c>
      <c r="AB889" t="s">
        <v>74</v>
      </c>
      <c r="AC889" t="s">
        <v>74</v>
      </c>
      <c r="AD889" t="s">
        <v>74</v>
      </c>
      <c r="AE889" t="s">
        <v>74</v>
      </c>
      <c r="AF889" t="s">
        <v>74</v>
      </c>
      <c r="AG889">
        <v>41</v>
      </c>
      <c r="AH889">
        <v>1</v>
      </c>
      <c r="AI889">
        <v>1</v>
      </c>
      <c r="AJ889">
        <v>1</v>
      </c>
      <c r="AK889">
        <v>3</v>
      </c>
      <c r="AL889" t="s">
        <v>1344</v>
      </c>
      <c r="AM889" t="s">
        <v>1345</v>
      </c>
      <c r="AN889" t="s">
        <v>1346</v>
      </c>
      <c r="AO889" t="s">
        <v>4423</v>
      </c>
      <c r="AP889" t="s">
        <v>74</v>
      </c>
      <c r="AQ889" t="s">
        <v>74</v>
      </c>
      <c r="AR889" t="s">
        <v>4424</v>
      </c>
      <c r="AS889" t="s">
        <v>4425</v>
      </c>
      <c r="AT889" t="s">
        <v>11304</v>
      </c>
      <c r="AU889">
        <v>1998</v>
      </c>
      <c r="AV889">
        <v>28</v>
      </c>
      <c r="AW889">
        <v>5</v>
      </c>
      <c r="AX889" t="s">
        <v>74</v>
      </c>
      <c r="AY889" t="s">
        <v>74</v>
      </c>
      <c r="AZ889" t="s">
        <v>74</v>
      </c>
      <c r="BA889" t="s">
        <v>74</v>
      </c>
      <c r="BB889">
        <v>842</v>
      </c>
      <c r="BC889">
        <v>857</v>
      </c>
      <c r="BD889" t="s">
        <v>74</v>
      </c>
      <c r="BE889" t="s">
        <v>11788</v>
      </c>
      <c r="BF889" t="str">
        <f>HYPERLINK("http://dx.doi.org/10.1175/1520-0485(1998)028&lt;0842:SOTTCT&gt;2.0.CO;2","http://dx.doi.org/10.1175/1520-0485(1998)028&lt;0842:SOTTCT&gt;2.0.CO;2")</f>
        <v>http://dx.doi.org/10.1175/1520-0485(1998)028&lt;0842:SOTTCT&gt;2.0.CO;2</v>
      </c>
      <c r="BG889" t="s">
        <v>74</v>
      </c>
      <c r="BH889" t="s">
        <v>74</v>
      </c>
      <c r="BI889">
        <v>16</v>
      </c>
      <c r="BJ889" t="s">
        <v>451</v>
      </c>
      <c r="BK889" t="s">
        <v>95</v>
      </c>
      <c r="BL889" t="s">
        <v>451</v>
      </c>
      <c r="BM889" t="s">
        <v>11781</v>
      </c>
      <c r="BN889" t="s">
        <v>74</v>
      </c>
      <c r="BO889" t="s">
        <v>1429</v>
      </c>
      <c r="BP889" t="s">
        <v>74</v>
      </c>
      <c r="BQ889" t="s">
        <v>74</v>
      </c>
      <c r="BR889" t="s">
        <v>98</v>
      </c>
      <c r="BS889" t="s">
        <v>11789</v>
      </c>
      <c r="BT889" t="str">
        <f>HYPERLINK("https%3A%2F%2Fwww.webofscience.com%2Fwos%2Fwoscc%2Ffull-record%2FWOS:000073762900007","View Full Record in Web of Science")</f>
        <v>View Full Record in Web of Science</v>
      </c>
    </row>
    <row r="890" spans="1:72" x14ac:dyDescent="0.15">
      <c r="A890" t="s">
        <v>72</v>
      </c>
      <c r="B890" t="s">
        <v>11790</v>
      </c>
      <c r="C890" t="s">
        <v>74</v>
      </c>
      <c r="D890" t="s">
        <v>74</v>
      </c>
      <c r="E890" t="s">
        <v>74</v>
      </c>
      <c r="F890" t="s">
        <v>11790</v>
      </c>
      <c r="G890" t="s">
        <v>74</v>
      </c>
      <c r="H890" t="s">
        <v>74</v>
      </c>
      <c r="I890" t="s">
        <v>11791</v>
      </c>
      <c r="J890" t="s">
        <v>11792</v>
      </c>
      <c r="K890" t="s">
        <v>74</v>
      </c>
      <c r="L890" t="s">
        <v>74</v>
      </c>
      <c r="M890" t="s">
        <v>77</v>
      </c>
      <c r="N890" t="s">
        <v>78</v>
      </c>
      <c r="O890" t="s">
        <v>74</v>
      </c>
      <c r="P890" t="s">
        <v>74</v>
      </c>
      <c r="Q890" t="s">
        <v>74</v>
      </c>
      <c r="R890" t="s">
        <v>74</v>
      </c>
      <c r="S890" t="s">
        <v>74</v>
      </c>
      <c r="T890" t="s">
        <v>74</v>
      </c>
      <c r="U890" t="s">
        <v>11793</v>
      </c>
      <c r="V890" t="s">
        <v>11794</v>
      </c>
      <c r="W890" t="s">
        <v>11795</v>
      </c>
      <c r="X890" t="s">
        <v>11796</v>
      </c>
      <c r="Y890" t="s">
        <v>11797</v>
      </c>
      <c r="Z890" t="s">
        <v>74</v>
      </c>
      <c r="AA890" t="s">
        <v>1569</v>
      </c>
      <c r="AB890" t="s">
        <v>1570</v>
      </c>
      <c r="AC890" t="s">
        <v>74</v>
      </c>
      <c r="AD890" t="s">
        <v>74</v>
      </c>
      <c r="AE890" t="s">
        <v>74</v>
      </c>
      <c r="AF890" t="s">
        <v>74</v>
      </c>
      <c r="AG890">
        <v>108</v>
      </c>
      <c r="AH890">
        <v>154</v>
      </c>
      <c r="AI890">
        <v>175</v>
      </c>
      <c r="AJ890">
        <v>0</v>
      </c>
      <c r="AK890">
        <v>25</v>
      </c>
      <c r="AL890" t="s">
        <v>10831</v>
      </c>
      <c r="AM890" t="s">
        <v>997</v>
      </c>
      <c r="AN890" t="s">
        <v>11798</v>
      </c>
      <c r="AO890" t="s">
        <v>11799</v>
      </c>
      <c r="AP890" t="s">
        <v>11800</v>
      </c>
      <c r="AQ890" t="s">
        <v>74</v>
      </c>
      <c r="AR890" t="s">
        <v>11801</v>
      </c>
      <c r="AS890" t="s">
        <v>11802</v>
      </c>
      <c r="AT890" t="s">
        <v>11304</v>
      </c>
      <c r="AU890">
        <v>1998</v>
      </c>
      <c r="AV890">
        <v>68</v>
      </c>
      <c r="AW890">
        <v>3</v>
      </c>
      <c r="AX890" t="s">
        <v>3211</v>
      </c>
      <c r="AY890" t="s">
        <v>74</v>
      </c>
      <c r="AZ890" t="s">
        <v>74</v>
      </c>
      <c r="BA890" t="s">
        <v>74</v>
      </c>
      <c r="BB890">
        <v>487</v>
      </c>
      <c r="BC890">
        <v>496</v>
      </c>
      <c r="BD890" t="s">
        <v>74</v>
      </c>
      <c r="BE890" t="s">
        <v>11803</v>
      </c>
      <c r="BF890" t="str">
        <f>HYPERLINK("http://dx.doi.org/10.2110/jsr.68.487","http://dx.doi.org/10.2110/jsr.68.487")</f>
        <v>http://dx.doi.org/10.2110/jsr.68.487</v>
      </c>
      <c r="BG890" t="s">
        <v>74</v>
      </c>
      <c r="BH890" t="s">
        <v>74</v>
      </c>
      <c r="BI890">
        <v>10</v>
      </c>
      <c r="BJ890" t="s">
        <v>193</v>
      </c>
      <c r="BK890" t="s">
        <v>95</v>
      </c>
      <c r="BL890" t="s">
        <v>193</v>
      </c>
      <c r="BM890" t="s">
        <v>11804</v>
      </c>
      <c r="BN890" t="s">
        <v>74</v>
      </c>
      <c r="BO890" t="s">
        <v>2825</v>
      </c>
      <c r="BP890" t="s">
        <v>74</v>
      </c>
      <c r="BQ890" t="s">
        <v>74</v>
      </c>
      <c r="BR890" t="s">
        <v>98</v>
      </c>
      <c r="BS890" t="s">
        <v>11805</v>
      </c>
      <c r="BT890" t="str">
        <f>HYPERLINK("https%3A%2F%2Fwww.webofscience.com%2Fwos%2Fwoscc%2Ffull-record%2FWOS:000073565100012","View Full Record in Web of Science")</f>
        <v>View Full Record in Web of Science</v>
      </c>
    </row>
    <row r="891" spans="1:72" x14ac:dyDescent="0.15">
      <c r="A891" t="s">
        <v>72</v>
      </c>
      <c r="B891" t="s">
        <v>7859</v>
      </c>
      <c r="C891" t="s">
        <v>74</v>
      </c>
      <c r="D891" t="s">
        <v>74</v>
      </c>
      <c r="E891" t="s">
        <v>74</v>
      </c>
      <c r="F891" t="s">
        <v>7859</v>
      </c>
      <c r="G891" t="s">
        <v>74</v>
      </c>
      <c r="H891" t="s">
        <v>74</v>
      </c>
      <c r="I891" t="s">
        <v>11806</v>
      </c>
      <c r="J891" t="s">
        <v>1688</v>
      </c>
      <c r="K891" t="s">
        <v>74</v>
      </c>
      <c r="L891" t="s">
        <v>74</v>
      </c>
      <c r="M891" t="s">
        <v>77</v>
      </c>
      <c r="N891" t="s">
        <v>103</v>
      </c>
      <c r="O891" t="s">
        <v>74</v>
      </c>
      <c r="P891" t="s">
        <v>74</v>
      </c>
      <c r="Q891" t="s">
        <v>74</v>
      </c>
      <c r="R891" t="s">
        <v>74</v>
      </c>
      <c r="S891" t="s">
        <v>74</v>
      </c>
      <c r="T891" t="s">
        <v>11807</v>
      </c>
      <c r="U891" t="s">
        <v>11808</v>
      </c>
      <c r="V891" t="s">
        <v>11809</v>
      </c>
      <c r="W891" t="s">
        <v>11810</v>
      </c>
      <c r="X891" t="s">
        <v>11811</v>
      </c>
      <c r="Y891" t="s">
        <v>5651</v>
      </c>
      <c r="Z891" t="s">
        <v>74</v>
      </c>
      <c r="AA891" t="s">
        <v>74</v>
      </c>
      <c r="AB891" t="s">
        <v>74</v>
      </c>
      <c r="AC891" t="s">
        <v>74</v>
      </c>
      <c r="AD891" t="s">
        <v>74</v>
      </c>
      <c r="AE891" t="s">
        <v>74</v>
      </c>
      <c r="AF891" t="s">
        <v>74</v>
      </c>
      <c r="AG891">
        <v>31</v>
      </c>
      <c r="AH891">
        <v>94</v>
      </c>
      <c r="AI891">
        <v>104</v>
      </c>
      <c r="AJ891">
        <v>0</v>
      </c>
      <c r="AK891">
        <v>8</v>
      </c>
      <c r="AL891" t="s">
        <v>1697</v>
      </c>
      <c r="AM891" t="s">
        <v>1698</v>
      </c>
      <c r="AN891" t="s">
        <v>5664</v>
      </c>
      <c r="AO891" t="s">
        <v>1700</v>
      </c>
      <c r="AP891" t="s">
        <v>74</v>
      </c>
      <c r="AQ891" t="s">
        <v>74</v>
      </c>
      <c r="AR891" t="s">
        <v>1702</v>
      </c>
      <c r="AS891" t="s">
        <v>1703</v>
      </c>
      <c r="AT891" t="s">
        <v>11304</v>
      </c>
      <c r="AU891">
        <v>1998</v>
      </c>
      <c r="AV891">
        <v>155</v>
      </c>
      <c r="AW891" t="s">
        <v>74</v>
      </c>
      <c r="AX891">
        <v>3</v>
      </c>
      <c r="AY891" t="s">
        <v>74</v>
      </c>
      <c r="AZ891" t="s">
        <v>74</v>
      </c>
      <c r="BA891" t="s">
        <v>74</v>
      </c>
      <c r="BB891">
        <v>433</v>
      </c>
      <c r="BC891">
        <v>437</v>
      </c>
      <c r="BD891" t="s">
        <v>74</v>
      </c>
      <c r="BE891" t="s">
        <v>11812</v>
      </c>
      <c r="BF891" t="str">
        <f>HYPERLINK("http://dx.doi.org/10.1144/gsjgs.155.3.0433","http://dx.doi.org/10.1144/gsjgs.155.3.0433")</f>
        <v>http://dx.doi.org/10.1144/gsjgs.155.3.0433</v>
      </c>
      <c r="BG891" t="s">
        <v>74</v>
      </c>
      <c r="BH891" t="s">
        <v>74</v>
      </c>
      <c r="BI891">
        <v>5</v>
      </c>
      <c r="BJ891" t="s">
        <v>192</v>
      </c>
      <c r="BK891" t="s">
        <v>95</v>
      </c>
      <c r="BL891" t="s">
        <v>193</v>
      </c>
      <c r="BM891" t="s">
        <v>11813</v>
      </c>
      <c r="BN891" t="s">
        <v>74</v>
      </c>
      <c r="BO891" t="s">
        <v>74</v>
      </c>
      <c r="BP891" t="s">
        <v>74</v>
      </c>
      <c r="BQ891" t="s">
        <v>74</v>
      </c>
      <c r="BR891" t="s">
        <v>98</v>
      </c>
      <c r="BS891" t="s">
        <v>11814</v>
      </c>
      <c r="BT891" t="str">
        <f>HYPERLINK("https%3A%2F%2Fwww.webofscience.com%2Fwos%2Fwoscc%2Ffull-record%2FWOS:000073705100003","View Full Record in Web of Science")</f>
        <v>View Full Record in Web of Science</v>
      </c>
    </row>
    <row r="892" spans="1:72" x14ac:dyDescent="0.15">
      <c r="A892" t="s">
        <v>72</v>
      </c>
      <c r="B892" t="s">
        <v>11815</v>
      </c>
      <c r="C892" t="s">
        <v>74</v>
      </c>
      <c r="D892" t="s">
        <v>74</v>
      </c>
      <c r="E892" t="s">
        <v>74</v>
      </c>
      <c r="F892" t="s">
        <v>11815</v>
      </c>
      <c r="G892" t="s">
        <v>74</v>
      </c>
      <c r="H892" t="s">
        <v>74</v>
      </c>
      <c r="I892" t="s">
        <v>11816</v>
      </c>
      <c r="J892" t="s">
        <v>8551</v>
      </c>
      <c r="K892" t="s">
        <v>74</v>
      </c>
      <c r="L892" t="s">
        <v>74</v>
      </c>
      <c r="M892" t="s">
        <v>77</v>
      </c>
      <c r="N892" t="s">
        <v>103</v>
      </c>
      <c r="O892" t="s">
        <v>74</v>
      </c>
      <c r="P892" t="s">
        <v>74</v>
      </c>
      <c r="Q892" t="s">
        <v>74</v>
      </c>
      <c r="R892" t="s">
        <v>74</v>
      </c>
      <c r="S892" t="s">
        <v>74</v>
      </c>
      <c r="T892" t="s">
        <v>74</v>
      </c>
      <c r="U892" t="s">
        <v>11817</v>
      </c>
      <c r="V892" t="s">
        <v>11818</v>
      </c>
      <c r="W892" t="s">
        <v>11819</v>
      </c>
      <c r="X892" t="s">
        <v>11820</v>
      </c>
      <c r="Y892" t="s">
        <v>11821</v>
      </c>
      <c r="Z892" t="s">
        <v>74</v>
      </c>
      <c r="AA892" t="s">
        <v>74</v>
      </c>
      <c r="AB892" t="s">
        <v>74</v>
      </c>
      <c r="AC892" t="s">
        <v>74</v>
      </c>
      <c r="AD892" t="s">
        <v>74</v>
      </c>
      <c r="AE892" t="s">
        <v>74</v>
      </c>
      <c r="AF892" t="s">
        <v>74</v>
      </c>
      <c r="AG892">
        <v>62</v>
      </c>
      <c r="AH892">
        <v>32</v>
      </c>
      <c r="AI892">
        <v>35</v>
      </c>
      <c r="AJ892">
        <v>0</v>
      </c>
      <c r="AK892">
        <v>14</v>
      </c>
      <c r="AL892" t="s">
        <v>948</v>
      </c>
      <c r="AM892" t="s">
        <v>278</v>
      </c>
      <c r="AN892" t="s">
        <v>949</v>
      </c>
      <c r="AO892" t="s">
        <v>8556</v>
      </c>
      <c r="AP892" t="s">
        <v>74</v>
      </c>
      <c r="AQ892" t="s">
        <v>74</v>
      </c>
      <c r="AR892" t="s">
        <v>8558</v>
      </c>
      <c r="AS892" t="s">
        <v>8559</v>
      </c>
      <c r="AT892" t="s">
        <v>11304</v>
      </c>
      <c r="AU892">
        <v>1998</v>
      </c>
      <c r="AV892">
        <v>78</v>
      </c>
      <c r="AW892">
        <v>2</v>
      </c>
      <c r="AX892" t="s">
        <v>74</v>
      </c>
      <c r="AY892" t="s">
        <v>74</v>
      </c>
      <c r="AZ892" t="s">
        <v>74</v>
      </c>
      <c r="BA892" t="s">
        <v>74</v>
      </c>
      <c r="BB892">
        <v>411</v>
      </c>
      <c r="BC892">
        <v>434</v>
      </c>
      <c r="BD892" t="s">
        <v>74</v>
      </c>
      <c r="BE892" t="s">
        <v>11822</v>
      </c>
      <c r="BF892" t="str">
        <f>HYPERLINK("http://dx.doi.org/10.1017/S0025315400041539","http://dx.doi.org/10.1017/S0025315400041539")</f>
        <v>http://dx.doi.org/10.1017/S0025315400041539</v>
      </c>
      <c r="BG892" t="s">
        <v>74</v>
      </c>
      <c r="BH892" t="s">
        <v>74</v>
      </c>
      <c r="BI892">
        <v>24</v>
      </c>
      <c r="BJ892" t="s">
        <v>212</v>
      </c>
      <c r="BK892" t="s">
        <v>95</v>
      </c>
      <c r="BL892" t="s">
        <v>212</v>
      </c>
      <c r="BM892" t="s">
        <v>11823</v>
      </c>
      <c r="BN892" t="s">
        <v>74</v>
      </c>
      <c r="BO892" t="s">
        <v>74</v>
      </c>
      <c r="BP892" t="s">
        <v>74</v>
      </c>
      <c r="BQ892" t="s">
        <v>74</v>
      </c>
      <c r="BR892" t="s">
        <v>98</v>
      </c>
      <c r="BS892" t="s">
        <v>11824</v>
      </c>
      <c r="BT892" t="str">
        <f>HYPERLINK("https%3A%2F%2Fwww.webofscience.com%2Fwos%2Fwoscc%2Ffull-record%2FWOS:000074430400004","View Full Record in Web of Science")</f>
        <v>View Full Record in Web of Science</v>
      </c>
    </row>
    <row r="893" spans="1:72" x14ac:dyDescent="0.15">
      <c r="A893" t="s">
        <v>72</v>
      </c>
      <c r="B893" t="s">
        <v>11825</v>
      </c>
      <c r="C893" t="s">
        <v>74</v>
      </c>
      <c r="D893" t="s">
        <v>74</v>
      </c>
      <c r="E893" t="s">
        <v>74</v>
      </c>
      <c r="F893" t="s">
        <v>11825</v>
      </c>
      <c r="G893" t="s">
        <v>74</v>
      </c>
      <c r="H893" t="s">
        <v>74</v>
      </c>
      <c r="I893" t="s">
        <v>11826</v>
      </c>
      <c r="J893" t="s">
        <v>11827</v>
      </c>
      <c r="K893" t="s">
        <v>74</v>
      </c>
      <c r="L893" t="s">
        <v>74</v>
      </c>
      <c r="M893" t="s">
        <v>77</v>
      </c>
      <c r="N893" t="s">
        <v>103</v>
      </c>
      <c r="O893" t="s">
        <v>74</v>
      </c>
      <c r="P893" t="s">
        <v>74</v>
      </c>
      <c r="Q893" t="s">
        <v>74</v>
      </c>
      <c r="R893" t="s">
        <v>74</v>
      </c>
      <c r="S893" t="s">
        <v>74</v>
      </c>
      <c r="T893" t="s">
        <v>74</v>
      </c>
      <c r="U893" t="s">
        <v>11828</v>
      </c>
      <c r="V893" t="s">
        <v>11829</v>
      </c>
      <c r="W893" t="s">
        <v>11830</v>
      </c>
      <c r="X893" t="s">
        <v>2975</v>
      </c>
      <c r="Y893" t="s">
        <v>11831</v>
      </c>
      <c r="Z893" t="s">
        <v>74</v>
      </c>
      <c r="AA893" t="s">
        <v>11832</v>
      </c>
      <c r="AB893" t="s">
        <v>11833</v>
      </c>
      <c r="AC893" t="s">
        <v>74</v>
      </c>
      <c r="AD893" t="s">
        <v>74</v>
      </c>
      <c r="AE893" t="s">
        <v>74</v>
      </c>
      <c r="AF893" t="s">
        <v>74</v>
      </c>
      <c r="AG893">
        <v>27</v>
      </c>
      <c r="AH893">
        <v>15</v>
      </c>
      <c r="AI893">
        <v>18</v>
      </c>
      <c r="AJ893">
        <v>0</v>
      </c>
      <c r="AK893">
        <v>1</v>
      </c>
      <c r="AL893" t="s">
        <v>11494</v>
      </c>
      <c r="AM893" t="s">
        <v>1121</v>
      </c>
      <c r="AN893" t="s">
        <v>11495</v>
      </c>
      <c r="AO893" t="s">
        <v>11834</v>
      </c>
      <c r="AP893" t="s">
        <v>74</v>
      </c>
      <c r="AQ893" t="s">
        <v>74</v>
      </c>
      <c r="AR893" t="s">
        <v>11827</v>
      </c>
      <c r="AS893" t="s">
        <v>11835</v>
      </c>
      <c r="AT893" t="s">
        <v>11304</v>
      </c>
      <c r="AU893">
        <v>1998</v>
      </c>
      <c r="AV893">
        <v>30</v>
      </c>
      <c r="AW893" t="s">
        <v>74</v>
      </c>
      <c r="AX893">
        <v>3</v>
      </c>
      <c r="AY893" t="s">
        <v>74</v>
      </c>
      <c r="AZ893" t="s">
        <v>74</v>
      </c>
      <c r="BA893" t="s">
        <v>74</v>
      </c>
      <c r="BB893">
        <v>249</v>
      </c>
      <c r="BC893">
        <v>258</v>
      </c>
      <c r="BD893" t="s">
        <v>74</v>
      </c>
      <c r="BE893" t="s">
        <v>11836</v>
      </c>
      <c r="BF893" t="str">
        <f>HYPERLINK("http://dx.doi.org/10.1006/lich.1998.0135","http://dx.doi.org/10.1006/lich.1998.0135")</f>
        <v>http://dx.doi.org/10.1006/lich.1998.0135</v>
      </c>
      <c r="BG893" t="s">
        <v>74</v>
      </c>
      <c r="BH893" t="s">
        <v>74</v>
      </c>
      <c r="BI893">
        <v>10</v>
      </c>
      <c r="BJ893" t="s">
        <v>11837</v>
      </c>
      <c r="BK893" t="s">
        <v>95</v>
      </c>
      <c r="BL893" t="s">
        <v>11837</v>
      </c>
      <c r="BM893" t="s">
        <v>11838</v>
      </c>
      <c r="BN893" t="s">
        <v>74</v>
      </c>
      <c r="BO893" t="s">
        <v>74</v>
      </c>
      <c r="BP893" t="s">
        <v>74</v>
      </c>
      <c r="BQ893" t="s">
        <v>74</v>
      </c>
      <c r="BR893" t="s">
        <v>98</v>
      </c>
      <c r="BS893" t="s">
        <v>11839</v>
      </c>
      <c r="BT893" t="str">
        <f>HYPERLINK("https%3A%2F%2Fwww.webofscience.com%2Fwos%2Fwoscc%2Ffull-record%2FWOS:000074346700006","View Full Record in Web of Science")</f>
        <v>View Full Record in Web of Science</v>
      </c>
    </row>
    <row r="894" spans="1:72" x14ac:dyDescent="0.15">
      <c r="A894" t="s">
        <v>72</v>
      </c>
      <c r="B894" t="s">
        <v>11840</v>
      </c>
      <c r="C894" t="s">
        <v>74</v>
      </c>
      <c r="D894" t="s">
        <v>74</v>
      </c>
      <c r="E894" t="s">
        <v>74</v>
      </c>
      <c r="F894" t="s">
        <v>11840</v>
      </c>
      <c r="G894" t="s">
        <v>74</v>
      </c>
      <c r="H894" t="s">
        <v>74</v>
      </c>
      <c r="I894" t="s">
        <v>11841</v>
      </c>
      <c r="J894" t="s">
        <v>1771</v>
      </c>
      <c r="K894" t="s">
        <v>74</v>
      </c>
      <c r="L894" t="s">
        <v>74</v>
      </c>
      <c r="M894" t="s">
        <v>77</v>
      </c>
      <c r="N894" t="s">
        <v>103</v>
      </c>
      <c r="O894" t="s">
        <v>74</v>
      </c>
      <c r="P894" t="s">
        <v>74</v>
      </c>
      <c r="Q894" t="s">
        <v>74</v>
      </c>
      <c r="R894" t="s">
        <v>74</v>
      </c>
      <c r="S894" t="s">
        <v>74</v>
      </c>
      <c r="T894" t="s">
        <v>74</v>
      </c>
      <c r="U894" t="s">
        <v>11842</v>
      </c>
      <c r="V894" t="s">
        <v>11843</v>
      </c>
      <c r="W894" t="s">
        <v>11844</v>
      </c>
      <c r="X894" t="s">
        <v>11845</v>
      </c>
      <c r="Y894" t="s">
        <v>11846</v>
      </c>
      <c r="Z894" t="s">
        <v>74</v>
      </c>
      <c r="AA894" t="s">
        <v>11847</v>
      </c>
      <c r="AB894" t="s">
        <v>11848</v>
      </c>
      <c r="AC894" t="s">
        <v>74</v>
      </c>
      <c r="AD894" t="s">
        <v>74</v>
      </c>
      <c r="AE894" t="s">
        <v>74</v>
      </c>
      <c r="AF894" t="s">
        <v>74</v>
      </c>
      <c r="AG894">
        <v>81</v>
      </c>
      <c r="AH894">
        <v>218</v>
      </c>
      <c r="AI894">
        <v>239</v>
      </c>
      <c r="AJ894">
        <v>4</v>
      </c>
      <c r="AK894">
        <v>46</v>
      </c>
      <c r="AL894" t="s">
        <v>4482</v>
      </c>
      <c r="AM894" t="s">
        <v>4483</v>
      </c>
      <c r="AN894" t="s">
        <v>4484</v>
      </c>
      <c r="AO894" t="s">
        <v>1778</v>
      </c>
      <c r="AP894" t="s">
        <v>74</v>
      </c>
      <c r="AQ894" t="s">
        <v>74</v>
      </c>
      <c r="AR894" t="s">
        <v>1780</v>
      </c>
      <c r="AS894" t="s">
        <v>1781</v>
      </c>
      <c r="AT894" t="s">
        <v>11304</v>
      </c>
      <c r="AU894">
        <v>1998</v>
      </c>
      <c r="AV894">
        <v>43</v>
      </c>
      <c r="AW894">
        <v>3</v>
      </c>
      <c r="AX894" t="s">
        <v>74</v>
      </c>
      <c r="AY894" t="s">
        <v>74</v>
      </c>
      <c r="AZ894" t="s">
        <v>74</v>
      </c>
      <c r="BA894" t="s">
        <v>74</v>
      </c>
      <c r="BB894">
        <v>375</v>
      </c>
      <c r="BC894">
        <v>386</v>
      </c>
      <c r="BD894" t="s">
        <v>74</v>
      </c>
      <c r="BE894" t="s">
        <v>11849</v>
      </c>
      <c r="BF894" t="str">
        <f>HYPERLINK("http://dx.doi.org/10.4319/lo.1998.43.3.0375","http://dx.doi.org/10.4319/lo.1998.43.3.0375")</f>
        <v>http://dx.doi.org/10.4319/lo.1998.43.3.0375</v>
      </c>
      <c r="BG894" t="s">
        <v>74</v>
      </c>
      <c r="BH894" t="s">
        <v>74</v>
      </c>
      <c r="BI894">
        <v>12</v>
      </c>
      <c r="BJ894" t="s">
        <v>1783</v>
      </c>
      <c r="BK894" t="s">
        <v>95</v>
      </c>
      <c r="BL894" t="s">
        <v>1128</v>
      </c>
      <c r="BM894" t="s">
        <v>11850</v>
      </c>
      <c r="BN894" t="s">
        <v>74</v>
      </c>
      <c r="BO894" t="s">
        <v>2091</v>
      </c>
      <c r="BP894" t="s">
        <v>74</v>
      </c>
      <c r="BQ894" t="s">
        <v>74</v>
      </c>
      <c r="BR894" t="s">
        <v>98</v>
      </c>
      <c r="BS894" t="s">
        <v>11851</v>
      </c>
      <c r="BT894" t="str">
        <f>HYPERLINK("https%3A%2F%2Fwww.webofscience.com%2Fwos%2Fwoscc%2Ffull-record%2FWOS:000074215500001","View Full Record in Web of Science")</f>
        <v>View Full Record in Web of Science</v>
      </c>
    </row>
    <row r="895" spans="1:72" x14ac:dyDescent="0.15">
      <c r="A895" t="s">
        <v>72</v>
      </c>
      <c r="B895" t="s">
        <v>11852</v>
      </c>
      <c r="C895" t="s">
        <v>74</v>
      </c>
      <c r="D895" t="s">
        <v>74</v>
      </c>
      <c r="E895" t="s">
        <v>74</v>
      </c>
      <c r="F895" t="s">
        <v>11852</v>
      </c>
      <c r="G895" t="s">
        <v>74</v>
      </c>
      <c r="H895" t="s">
        <v>74</v>
      </c>
      <c r="I895" t="s">
        <v>11853</v>
      </c>
      <c r="J895" t="s">
        <v>1771</v>
      </c>
      <c r="K895" t="s">
        <v>74</v>
      </c>
      <c r="L895" t="s">
        <v>74</v>
      </c>
      <c r="M895" t="s">
        <v>77</v>
      </c>
      <c r="N895" t="s">
        <v>103</v>
      </c>
      <c r="O895" t="s">
        <v>74</v>
      </c>
      <c r="P895" t="s">
        <v>74</v>
      </c>
      <c r="Q895" t="s">
        <v>74</v>
      </c>
      <c r="R895" t="s">
        <v>74</v>
      </c>
      <c r="S895" t="s">
        <v>74</v>
      </c>
      <c r="T895" t="s">
        <v>74</v>
      </c>
      <c r="U895" t="s">
        <v>11854</v>
      </c>
      <c r="V895" t="s">
        <v>11855</v>
      </c>
      <c r="W895" t="s">
        <v>11856</v>
      </c>
      <c r="X895" t="s">
        <v>11857</v>
      </c>
      <c r="Y895" t="s">
        <v>11858</v>
      </c>
      <c r="Z895" t="s">
        <v>74</v>
      </c>
      <c r="AA895" t="s">
        <v>11859</v>
      </c>
      <c r="AB895" t="s">
        <v>11860</v>
      </c>
      <c r="AC895" t="s">
        <v>74</v>
      </c>
      <c r="AD895" t="s">
        <v>74</v>
      </c>
      <c r="AE895" t="s">
        <v>74</v>
      </c>
      <c r="AF895" t="s">
        <v>74</v>
      </c>
      <c r="AG895">
        <v>77</v>
      </c>
      <c r="AH895">
        <v>38</v>
      </c>
      <c r="AI895">
        <v>41</v>
      </c>
      <c r="AJ895">
        <v>1</v>
      </c>
      <c r="AK895">
        <v>12</v>
      </c>
      <c r="AL895" t="s">
        <v>4482</v>
      </c>
      <c r="AM895" t="s">
        <v>4483</v>
      </c>
      <c r="AN895" t="s">
        <v>4484</v>
      </c>
      <c r="AO895" t="s">
        <v>1778</v>
      </c>
      <c r="AP895" t="s">
        <v>74</v>
      </c>
      <c r="AQ895" t="s">
        <v>74</v>
      </c>
      <c r="AR895" t="s">
        <v>1780</v>
      </c>
      <c r="AS895" t="s">
        <v>1781</v>
      </c>
      <c r="AT895" t="s">
        <v>11304</v>
      </c>
      <c r="AU895">
        <v>1998</v>
      </c>
      <c r="AV895">
        <v>43</v>
      </c>
      <c r="AW895">
        <v>3</v>
      </c>
      <c r="AX895" t="s">
        <v>74</v>
      </c>
      <c r="AY895" t="s">
        <v>74</v>
      </c>
      <c r="AZ895" t="s">
        <v>74</v>
      </c>
      <c r="BA895" t="s">
        <v>74</v>
      </c>
      <c r="BB895">
        <v>420</v>
      </c>
      <c r="BC895">
        <v>432</v>
      </c>
      <c r="BD895" t="s">
        <v>74</v>
      </c>
      <c r="BE895" t="s">
        <v>11861</v>
      </c>
      <c r="BF895" t="str">
        <f>HYPERLINK("http://dx.doi.org/10.4319/lo.1998.43.3.0420","http://dx.doi.org/10.4319/lo.1998.43.3.0420")</f>
        <v>http://dx.doi.org/10.4319/lo.1998.43.3.0420</v>
      </c>
      <c r="BG895" t="s">
        <v>74</v>
      </c>
      <c r="BH895" t="s">
        <v>74</v>
      </c>
      <c r="BI895">
        <v>13</v>
      </c>
      <c r="BJ895" t="s">
        <v>1783</v>
      </c>
      <c r="BK895" t="s">
        <v>95</v>
      </c>
      <c r="BL895" t="s">
        <v>1128</v>
      </c>
      <c r="BM895" t="s">
        <v>11850</v>
      </c>
      <c r="BN895" t="s">
        <v>74</v>
      </c>
      <c r="BO895" t="s">
        <v>986</v>
      </c>
      <c r="BP895" t="s">
        <v>74</v>
      </c>
      <c r="BQ895" t="s">
        <v>74</v>
      </c>
      <c r="BR895" t="s">
        <v>98</v>
      </c>
      <c r="BS895" t="s">
        <v>11862</v>
      </c>
      <c r="BT895" t="str">
        <f>HYPERLINK("https%3A%2F%2Fwww.webofscience.com%2Fwos%2Fwoscc%2Ffull-record%2FWOS:000074215500005","View Full Record in Web of Science")</f>
        <v>View Full Record in Web of Science</v>
      </c>
    </row>
    <row r="896" spans="1:72" x14ac:dyDescent="0.15">
      <c r="A896" t="s">
        <v>72</v>
      </c>
      <c r="B896" t="s">
        <v>11863</v>
      </c>
      <c r="C896" t="s">
        <v>74</v>
      </c>
      <c r="D896" t="s">
        <v>74</v>
      </c>
      <c r="E896" t="s">
        <v>74</v>
      </c>
      <c r="F896" t="s">
        <v>11863</v>
      </c>
      <c r="G896" t="s">
        <v>74</v>
      </c>
      <c r="H896" t="s">
        <v>74</v>
      </c>
      <c r="I896" t="s">
        <v>11864</v>
      </c>
      <c r="J896" t="s">
        <v>1771</v>
      </c>
      <c r="K896" t="s">
        <v>74</v>
      </c>
      <c r="L896" t="s">
        <v>74</v>
      </c>
      <c r="M896" t="s">
        <v>77</v>
      </c>
      <c r="N896" t="s">
        <v>103</v>
      </c>
      <c r="O896" t="s">
        <v>74</v>
      </c>
      <c r="P896" t="s">
        <v>74</v>
      </c>
      <c r="Q896" t="s">
        <v>74</v>
      </c>
      <c r="R896" t="s">
        <v>74</v>
      </c>
      <c r="S896" t="s">
        <v>74</v>
      </c>
      <c r="T896" t="s">
        <v>74</v>
      </c>
      <c r="U896" t="s">
        <v>11865</v>
      </c>
      <c r="V896" t="s">
        <v>11866</v>
      </c>
      <c r="W896" t="s">
        <v>11867</v>
      </c>
      <c r="X896" t="s">
        <v>11868</v>
      </c>
      <c r="Y896" t="s">
        <v>5156</v>
      </c>
      <c r="Z896" t="s">
        <v>74</v>
      </c>
      <c r="AA896" t="s">
        <v>11869</v>
      </c>
      <c r="AB896" t="s">
        <v>11870</v>
      </c>
      <c r="AC896" t="s">
        <v>74</v>
      </c>
      <c r="AD896" t="s">
        <v>74</v>
      </c>
      <c r="AE896" t="s">
        <v>74</v>
      </c>
      <c r="AF896" t="s">
        <v>74</v>
      </c>
      <c r="AG896">
        <v>56</v>
      </c>
      <c r="AH896">
        <v>106</v>
      </c>
      <c r="AI896">
        <v>113</v>
      </c>
      <c r="AJ896">
        <v>0</v>
      </c>
      <c r="AK896">
        <v>6</v>
      </c>
      <c r="AL896" t="s">
        <v>655</v>
      </c>
      <c r="AM896" t="s">
        <v>656</v>
      </c>
      <c r="AN896" t="s">
        <v>657</v>
      </c>
      <c r="AO896" t="s">
        <v>1778</v>
      </c>
      <c r="AP896" t="s">
        <v>1779</v>
      </c>
      <c r="AQ896" t="s">
        <v>74</v>
      </c>
      <c r="AR896" t="s">
        <v>1780</v>
      </c>
      <c r="AS896" t="s">
        <v>1781</v>
      </c>
      <c r="AT896" t="s">
        <v>11304</v>
      </c>
      <c r="AU896">
        <v>1998</v>
      </c>
      <c r="AV896">
        <v>43</v>
      </c>
      <c r="AW896">
        <v>3</v>
      </c>
      <c r="AX896" t="s">
        <v>74</v>
      </c>
      <c r="AY896" t="s">
        <v>74</v>
      </c>
      <c r="AZ896" t="s">
        <v>74</v>
      </c>
      <c r="BA896" t="s">
        <v>74</v>
      </c>
      <c r="BB896">
        <v>433</v>
      </c>
      <c r="BC896">
        <v>448</v>
      </c>
      <c r="BD896" t="s">
        <v>74</v>
      </c>
      <c r="BE896" t="s">
        <v>11871</v>
      </c>
      <c r="BF896" t="str">
        <f>HYPERLINK("http://dx.doi.org/10.4319/lo.1998.43.3.0433","http://dx.doi.org/10.4319/lo.1998.43.3.0433")</f>
        <v>http://dx.doi.org/10.4319/lo.1998.43.3.0433</v>
      </c>
      <c r="BG896" t="s">
        <v>74</v>
      </c>
      <c r="BH896" t="s">
        <v>74</v>
      </c>
      <c r="BI896">
        <v>16</v>
      </c>
      <c r="BJ896" t="s">
        <v>1783</v>
      </c>
      <c r="BK896" t="s">
        <v>95</v>
      </c>
      <c r="BL896" t="s">
        <v>1128</v>
      </c>
      <c r="BM896" t="s">
        <v>11850</v>
      </c>
      <c r="BN896" t="s">
        <v>74</v>
      </c>
      <c r="BO896" t="s">
        <v>74</v>
      </c>
      <c r="BP896" t="s">
        <v>74</v>
      </c>
      <c r="BQ896" t="s">
        <v>74</v>
      </c>
      <c r="BR896" t="s">
        <v>98</v>
      </c>
      <c r="BS896" t="s">
        <v>11872</v>
      </c>
      <c r="BT896" t="str">
        <f>HYPERLINK("https%3A%2F%2Fwww.webofscience.com%2Fwos%2Fwoscc%2Ffull-record%2FWOS:000074215500006","View Full Record in Web of Science")</f>
        <v>View Full Record in Web of Science</v>
      </c>
    </row>
    <row r="897" spans="1:72" x14ac:dyDescent="0.15">
      <c r="A897" t="s">
        <v>72</v>
      </c>
      <c r="B897" t="s">
        <v>11873</v>
      </c>
      <c r="C897" t="s">
        <v>74</v>
      </c>
      <c r="D897" t="s">
        <v>74</v>
      </c>
      <c r="E897" t="s">
        <v>74</v>
      </c>
      <c r="F897" t="s">
        <v>11873</v>
      </c>
      <c r="G897" t="s">
        <v>74</v>
      </c>
      <c r="H897" t="s">
        <v>74</v>
      </c>
      <c r="I897" t="s">
        <v>11874</v>
      </c>
      <c r="J897" t="s">
        <v>1842</v>
      </c>
      <c r="K897" t="s">
        <v>74</v>
      </c>
      <c r="L897" t="s">
        <v>74</v>
      </c>
      <c r="M897" t="s">
        <v>77</v>
      </c>
      <c r="N897" t="s">
        <v>103</v>
      </c>
      <c r="O897" t="s">
        <v>74</v>
      </c>
      <c r="P897" t="s">
        <v>74</v>
      </c>
      <c r="Q897" t="s">
        <v>74</v>
      </c>
      <c r="R897" t="s">
        <v>74</v>
      </c>
      <c r="S897" t="s">
        <v>74</v>
      </c>
      <c r="T897" t="s">
        <v>74</v>
      </c>
      <c r="U897" t="s">
        <v>11875</v>
      </c>
      <c r="V897" t="s">
        <v>11876</v>
      </c>
      <c r="W897" t="s">
        <v>944</v>
      </c>
      <c r="X897" t="s">
        <v>628</v>
      </c>
      <c r="Y897" t="s">
        <v>1945</v>
      </c>
      <c r="Z897" t="s">
        <v>74</v>
      </c>
      <c r="AA897" t="s">
        <v>74</v>
      </c>
      <c r="AB897" t="s">
        <v>74</v>
      </c>
      <c r="AC897" t="s">
        <v>74</v>
      </c>
      <c r="AD897" t="s">
        <v>74</v>
      </c>
      <c r="AE897" t="s">
        <v>74</v>
      </c>
      <c r="AF897" t="s">
        <v>74</v>
      </c>
      <c r="AG897">
        <v>54</v>
      </c>
      <c r="AH897">
        <v>37</v>
      </c>
      <c r="AI897">
        <v>49</v>
      </c>
      <c r="AJ897">
        <v>0</v>
      </c>
      <c r="AK897">
        <v>9</v>
      </c>
      <c r="AL897" t="s">
        <v>887</v>
      </c>
      <c r="AM897" t="s">
        <v>278</v>
      </c>
      <c r="AN897" t="s">
        <v>888</v>
      </c>
      <c r="AO897" t="s">
        <v>1848</v>
      </c>
      <c r="AP897" t="s">
        <v>74</v>
      </c>
      <c r="AQ897" t="s">
        <v>74</v>
      </c>
      <c r="AR897" t="s">
        <v>1849</v>
      </c>
      <c r="AS897" t="s">
        <v>1850</v>
      </c>
      <c r="AT897" t="s">
        <v>11304</v>
      </c>
      <c r="AU897">
        <v>1998</v>
      </c>
      <c r="AV897">
        <v>131</v>
      </c>
      <c r="AW897">
        <v>2</v>
      </c>
      <c r="AX897" t="s">
        <v>74</v>
      </c>
      <c r="AY897" t="s">
        <v>74</v>
      </c>
      <c r="AZ897" t="s">
        <v>74</v>
      </c>
      <c r="BA897" t="s">
        <v>74</v>
      </c>
      <c r="BB897">
        <v>237</v>
      </c>
      <c r="BC897">
        <v>247</v>
      </c>
      <c r="BD897" t="s">
        <v>74</v>
      </c>
      <c r="BE897" t="s">
        <v>11877</v>
      </c>
      <c r="BF897" t="str">
        <f>HYPERLINK("http://dx.doi.org/10.1007/s002270050316","http://dx.doi.org/10.1007/s002270050316")</f>
        <v>http://dx.doi.org/10.1007/s002270050316</v>
      </c>
      <c r="BG897" t="s">
        <v>74</v>
      </c>
      <c r="BH897" t="s">
        <v>74</v>
      </c>
      <c r="BI897">
        <v>11</v>
      </c>
      <c r="BJ897" t="s">
        <v>212</v>
      </c>
      <c r="BK897" t="s">
        <v>95</v>
      </c>
      <c r="BL897" t="s">
        <v>212</v>
      </c>
      <c r="BM897" t="s">
        <v>11878</v>
      </c>
      <c r="BN897" t="s">
        <v>74</v>
      </c>
      <c r="BO897" t="s">
        <v>74</v>
      </c>
      <c r="BP897" t="s">
        <v>74</v>
      </c>
      <c r="BQ897" t="s">
        <v>74</v>
      </c>
      <c r="BR897" t="s">
        <v>98</v>
      </c>
      <c r="BS897" t="s">
        <v>11879</v>
      </c>
      <c r="BT897" t="str">
        <f>HYPERLINK("https%3A%2F%2Fwww.webofscience.com%2Fwos%2Fwoscc%2Ffull-record%2FWOS:000074174600005","View Full Record in Web of Science")</f>
        <v>View Full Record in Web of Science</v>
      </c>
    </row>
    <row r="898" spans="1:72" x14ac:dyDescent="0.15">
      <c r="A898" t="s">
        <v>72</v>
      </c>
      <c r="B898" t="s">
        <v>2182</v>
      </c>
      <c r="C898" t="s">
        <v>74</v>
      </c>
      <c r="D898" t="s">
        <v>74</v>
      </c>
      <c r="E898" t="s">
        <v>74</v>
      </c>
      <c r="F898" t="s">
        <v>2182</v>
      </c>
      <c r="G898" t="s">
        <v>74</v>
      </c>
      <c r="H898" t="s">
        <v>74</v>
      </c>
      <c r="I898" t="s">
        <v>11880</v>
      </c>
      <c r="J898" t="s">
        <v>2184</v>
      </c>
      <c r="K898" t="s">
        <v>74</v>
      </c>
      <c r="L898" t="s">
        <v>74</v>
      </c>
      <c r="M898" t="s">
        <v>77</v>
      </c>
      <c r="N898" t="s">
        <v>2185</v>
      </c>
      <c r="O898" t="s">
        <v>74</v>
      </c>
      <c r="P898" t="s">
        <v>74</v>
      </c>
      <c r="Q898" t="s">
        <v>74</v>
      </c>
      <c r="R898" t="s">
        <v>74</v>
      </c>
      <c r="S898" t="s">
        <v>74</v>
      </c>
      <c r="T898" t="s">
        <v>74</v>
      </c>
      <c r="U898" t="s">
        <v>74</v>
      </c>
      <c r="V898" t="s">
        <v>74</v>
      </c>
      <c r="W898" t="s">
        <v>74</v>
      </c>
      <c r="X898" t="s">
        <v>74</v>
      </c>
      <c r="Y898" t="s">
        <v>74</v>
      </c>
      <c r="Z898" t="s">
        <v>74</v>
      </c>
      <c r="AA898" t="s">
        <v>74</v>
      </c>
      <c r="AB898" t="s">
        <v>74</v>
      </c>
      <c r="AC898" t="s">
        <v>74</v>
      </c>
      <c r="AD898" t="s">
        <v>74</v>
      </c>
      <c r="AE898" t="s">
        <v>74</v>
      </c>
      <c r="AF898" t="s">
        <v>74</v>
      </c>
      <c r="AG898">
        <v>0</v>
      </c>
      <c r="AH898">
        <v>0</v>
      </c>
      <c r="AI898">
        <v>0</v>
      </c>
      <c r="AJ898">
        <v>0</v>
      </c>
      <c r="AK898">
        <v>0</v>
      </c>
      <c r="AL898" t="s">
        <v>445</v>
      </c>
      <c r="AM898" t="s">
        <v>229</v>
      </c>
      <c r="AN898" t="s">
        <v>446</v>
      </c>
      <c r="AO898" t="s">
        <v>2186</v>
      </c>
      <c r="AP898" t="s">
        <v>2187</v>
      </c>
      <c r="AQ898" t="s">
        <v>74</v>
      </c>
      <c r="AR898" t="s">
        <v>2188</v>
      </c>
      <c r="AS898" t="s">
        <v>2189</v>
      </c>
      <c r="AT898" t="s">
        <v>11304</v>
      </c>
      <c r="AU898">
        <v>1998</v>
      </c>
      <c r="AV898">
        <v>36</v>
      </c>
      <c r="AW898">
        <v>5</v>
      </c>
      <c r="AX898" t="s">
        <v>74</v>
      </c>
      <c r="AY898" t="s">
        <v>74</v>
      </c>
      <c r="AZ898" t="s">
        <v>74</v>
      </c>
      <c r="BA898" t="s">
        <v>74</v>
      </c>
      <c r="BB898">
        <v>321</v>
      </c>
      <c r="BC898">
        <v>322</v>
      </c>
      <c r="BD898" t="s">
        <v>74</v>
      </c>
      <c r="BE898" t="s">
        <v>74</v>
      </c>
      <c r="BF898" t="s">
        <v>74</v>
      </c>
      <c r="BG898" t="s">
        <v>74</v>
      </c>
      <c r="BH898" t="s">
        <v>74</v>
      </c>
      <c r="BI898">
        <v>2</v>
      </c>
      <c r="BJ898" t="s">
        <v>2190</v>
      </c>
      <c r="BK898" t="s">
        <v>95</v>
      </c>
      <c r="BL898" t="s">
        <v>2191</v>
      </c>
      <c r="BM898" t="s">
        <v>11881</v>
      </c>
      <c r="BN898" t="s">
        <v>74</v>
      </c>
      <c r="BO898" t="s">
        <v>74</v>
      </c>
      <c r="BP898" t="s">
        <v>74</v>
      </c>
      <c r="BQ898" t="s">
        <v>74</v>
      </c>
      <c r="BR898" t="s">
        <v>98</v>
      </c>
      <c r="BS898" t="s">
        <v>11882</v>
      </c>
      <c r="BT898" t="str">
        <f>HYPERLINK("https%3A%2F%2Fwww.webofscience.com%2Fwos%2Fwoscc%2Ffull-record%2FWOS:000074689400009","View Full Record in Web of Science")</f>
        <v>View Full Record in Web of Science</v>
      </c>
    </row>
    <row r="899" spans="1:72" x14ac:dyDescent="0.15">
      <c r="A899" t="s">
        <v>72</v>
      </c>
      <c r="B899" t="s">
        <v>11883</v>
      </c>
      <c r="C899" t="s">
        <v>74</v>
      </c>
      <c r="D899" t="s">
        <v>74</v>
      </c>
      <c r="E899" t="s">
        <v>74</v>
      </c>
      <c r="F899" t="s">
        <v>11883</v>
      </c>
      <c r="G899" t="s">
        <v>74</v>
      </c>
      <c r="H899" t="s">
        <v>74</v>
      </c>
      <c r="I899" t="s">
        <v>11884</v>
      </c>
      <c r="J899" t="s">
        <v>11885</v>
      </c>
      <c r="K899" t="s">
        <v>74</v>
      </c>
      <c r="L899" t="s">
        <v>74</v>
      </c>
      <c r="M899" t="s">
        <v>77</v>
      </c>
      <c r="N899" t="s">
        <v>3384</v>
      </c>
      <c r="O899" t="s">
        <v>74</v>
      </c>
      <c r="P899" t="s">
        <v>74</v>
      </c>
      <c r="Q899" t="s">
        <v>74</v>
      </c>
      <c r="R899" t="s">
        <v>74</v>
      </c>
      <c r="S899" t="s">
        <v>74</v>
      </c>
      <c r="T899" t="s">
        <v>74</v>
      </c>
      <c r="U899" t="s">
        <v>74</v>
      </c>
      <c r="V899" t="s">
        <v>74</v>
      </c>
      <c r="W899" t="s">
        <v>74</v>
      </c>
      <c r="X899" t="s">
        <v>74</v>
      </c>
      <c r="Y899" t="s">
        <v>74</v>
      </c>
      <c r="Z899" t="s">
        <v>74</v>
      </c>
      <c r="AA899" t="s">
        <v>74</v>
      </c>
      <c r="AB899" t="s">
        <v>74</v>
      </c>
      <c r="AC899" t="s">
        <v>74</v>
      </c>
      <c r="AD899" t="s">
        <v>74</v>
      </c>
      <c r="AE899" t="s">
        <v>74</v>
      </c>
      <c r="AF899" t="s">
        <v>74</v>
      </c>
      <c r="AG899">
        <v>1</v>
      </c>
      <c r="AH899">
        <v>0</v>
      </c>
      <c r="AI899">
        <v>0</v>
      </c>
      <c r="AJ899">
        <v>0</v>
      </c>
      <c r="AK899">
        <v>0</v>
      </c>
      <c r="AL899" t="s">
        <v>11886</v>
      </c>
      <c r="AM899" t="s">
        <v>1121</v>
      </c>
      <c r="AN899" t="s">
        <v>11887</v>
      </c>
      <c r="AO899" t="s">
        <v>11888</v>
      </c>
      <c r="AP899" t="s">
        <v>74</v>
      </c>
      <c r="AQ899" t="s">
        <v>74</v>
      </c>
      <c r="AR899" t="s">
        <v>11885</v>
      </c>
      <c r="AS899" t="s">
        <v>11889</v>
      </c>
      <c r="AT899" t="s">
        <v>11304</v>
      </c>
      <c r="AU899">
        <v>1998</v>
      </c>
      <c r="AV899">
        <v>84</v>
      </c>
      <c r="AW899">
        <v>2</v>
      </c>
      <c r="AX899" t="s">
        <v>74</v>
      </c>
      <c r="AY899" t="s">
        <v>74</v>
      </c>
      <c r="AZ899" t="s">
        <v>74</v>
      </c>
      <c r="BA899" t="s">
        <v>74</v>
      </c>
      <c r="BB899">
        <v>246</v>
      </c>
      <c r="BC899">
        <v>247</v>
      </c>
      <c r="BD899" t="s">
        <v>74</v>
      </c>
      <c r="BE899" t="s">
        <v>74</v>
      </c>
      <c r="BF899" t="s">
        <v>74</v>
      </c>
      <c r="BG899" t="s">
        <v>74</v>
      </c>
      <c r="BH899" t="s">
        <v>74</v>
      </c>
      <c r="BI899">
        <v>2</v>
      </c>
      <c r="BJ899" t="s">
        <v>7096</v>
      </c>
      <c r="BK899" t="s">
        <v>7097</v>
      </c>
      <c r="BL899" t="s">
        <v>7096</v>
      </c>
      <c r="BM899" t="s">
        <v>11890</v>
      </c>
      <c r="BN899" t="s">
        <v>74</v>
      </c>
      <c r="BO899" t="s">
        <v>74</v>
      </c>
      <c r="BP899" t="s">
        <v>74</v>
      </c>
      <c r="BQ899" t="s">
        <v>74</v>
      </c>
      <c r="BR899" t="s">
        <v>98</v>
      </c>
      <c r="BS899" t="s">
        <v>11891</v>
      </c>
      <c r="BT899" t="str">
        <f>HYPERLINK("https%3A%2F%2Fwww.webofscience.com%2Fwos%2Fwoscc%2Ffull-record%2FWOS:000073650700030","View Full Record in Web of Science")</f>
        <v>View Full Record in Web of Science</v>
      </c>
    </row>
    <row r="900" spans="1:72" x14ac:dyDescent="0.15">
      <c r="A900" t="s">
        <v>72</v>
      </c>
      <c r="B900" t="s">
        <v>11892</v>
      </c>
      <c r="C900" t="s">
        <v>74</v>
      </c>
      <c r="D900" t="s">
        <v>74</v>
      </c>
      <c r="E900" t="s">
        <v>74</v>
      </c>
      <c r="F900" t="s">
        <v>11892</v>
      </c>
      <c r="G900" t="s">
        <v>74</v>
      </c>
      <c r="H900" t="s">
        <v>74</v>
      </c>
      <c r="I900" t="s">
        <v>11893</v>
      </c>
      <c r="J900" t="s">
        <v>2236</v>
      </c>
      <c r="K900" t="s">
        <v>74</v>
      </c>
      <c r="L900" t="s">
        <v>74</v>
      </c>
      <c r="M900" t="s">
        <v>77</v>
      </c>
      <c r="N900" t="s">
        <v>103</v>
      </c>
      <c r="O900" t="s">
        <v>74</v>
      </c>
      <c r="P900" t="s">
        <v>74</v>
      </c>
      <c r="Q900" t="s">
        <v>74</v>
      </c>
      <c r="R900" t="s">
        <v>74</v>
      </c>
      <c r="S900" t="s">
        <v>74</v>
      </c>
      <c r="T900" t="s">
        <v>74</v>
      </c>
      <c r="U900" t="s">
        <v>11894</v>
      </c>
      <c r="V900" t="s">
        <v>11895</v>
      </c>
      <c r="W900" t="s">
        <v>11896</v>
      </c>
      <c r="X900" t="s">
        <v>203</v>
      </c>
      <c r="Y900" t="s">
        <v>11897</v>
      </c>
      <c r="Z900" t="s">
        <v>74</v>
      </c>
      <c r="AA900" t="s">
        <v>74</v>
      </c>
      <c r="AB900" t="s">
        <v>11898</v>
      </c>
      <c r="AC900" t="s">
        <v>74</v>
      </c>
      <c r="AD900" t="s">
        <v>74</v>
      </c>
      <c r="AE900" t="s">
        <v>74</v>
      </c>
      <c r="AF900" t="s">
        <v>74</v>
      </c>
      <c r="AG900">
        <v>32</v>
      </c>
      <c r="AH900">
        <v>71</v>
      </c>
      <c r="AI900">
        <v>74</v>
      </c>
      <c r="AJ900">
        <v>0</v>
      </c>
      <c r="AK900">
        <v>10</v>
      </c>
      <c r="AL900" t="s">
        <v>2242</v>
      </c>
      <c r="AM900" t="s">
        <v>2243</v>
      </c>
      <c r="AN900" t="s">
        <v>2244</v>
      </c>
      <c r="AO900" t="s">
        <v>2245</v>
      </c>
      <c r="AP900" t="s">
        <v>74</v>
      </c>
      <c r="AQ900" t="s">
        <v>74</v>
      </c>
      <c r="AR900" t="s">
        <v>2246</v>
      </c>
      <c r="AS900" t="s">
        <v>2247</v>
      </c>
      <c r="AT900" t="s">
        <v>11304</v>
      </c>
      <c r="AU900">
        <v>1998</v>
      </c>
      <c r="AV900">
        <v>33</v>
      </c>
      <c r="AW900">
        <v>3</v>
      </c>
      <c r="AX900" t="s">
        <v>74</v>
      </c>
      <c r="AY900" t="s">
        <v>74</v>
      </c>
      <c r="AZ900" t="s">
        <v>74</v>
      </c>
      <c r="BA900" t="s">
        <v>74</v>
      </c>
      <c r="BB900">
        <v>425</v>
      </c>
      <c r="BC900">
        <v>434</v>
      </c>
      <c r="BD900" t="s">
        <v>74</v>
      </c>
      <c r="BE900" t="s">
        <v>11899</v>
      </c>
      <c r="BF900" t="str">
        <f>HYPERLINK("http://dx.doi.org/10.1111/j.1945-5100.1998.tb01647.x","http://dx.doi.org/10.1111/j.1945-5100.1998.tb01647.x")</f>
        <v>http://dx.doi.org/10.1111/j.1945-5100.1998.tb01647.x</v>
      </c>
      <c r="BG900" t="s">
        <v>74</v>
      </c>
      <c r="BH900" t="s">
        <v>74</v>
      </c>
      <c r="BI900">
        <v>10</v>
      </c>
      <c r="BJ900" t="s">
        <v>303</v>
      </c>
      <c r="BK900" t="s">
        <v>95</v>
      </c>
      <c r="BL900" t="s">
        <v>303</v>
      </c>
      <c r="BM900" t="s">
        <v>11900</v>
      </c>
      <c r="BN900" t="s">
        <v>74</v>
      </c>
      <c r="BO900" t="s">
        <v>74</v>
      </c>
      <c r="BP900" t="s">
        <v>74</v>
      </c>
      <c r="BQ900" t="s">
        <v>74</v>
      </c>
      <c r="BR900" t="s">
        <v>98</v>
      </c>
      <c r="BS900" t="s">
        <v>11901</v>
      </c>
      <c r="BT900" t="str">
        <f>HYPERLINK("https%3A%2F%2Fwww.webofscience.com%2Fwos%2Fwoscc%2Ffull-record%2FWOS:000073841400004","View Full Record in Web of Science")</f>
        <v>View Full Record in Web of Science</v>
      </c>
    </row>
    <row r="901" spans="1:72" x14ac:dyDescent="0.15">
      <c r="A901" t="s">
        <v>72</v>
      </c>
      <c r="B901" t="s">
        <v>11902</v>
      </c>
      <c r="C901" t="s">
        <v>74</v>
      </c>
      <c r="D901" t="s">
        <v>74</v>
      </c>
      <c r="E901" t="s">
        <v>74</v>
      </c>
      <c r="F901" t="s">
        <v>11902</v>
      </c>
      <c r="G901" t="s">
        <v>74</v>
      </c>
      <c r="H901" t="s">
        <v>74</v>
      </c>
      <c r="I901" t="s">
        <v>11903</v>
      </c>
      <c r="J901" t="s">
        <v>2236</v>
      </c>
      <c r="K901" t="s">
        <v>74</v>
      </c>
      <c r="L901" t="s">
        <v>74</v>
      </c>
      <c r="M901" t="s">
        <v>77</v>
      </c>
      <c r="N901" t="s">
        <v>103</v>
      </c>
      <c r="O901" t="s">
        <v>74</v>
      </c>
      <c r="P901" t="s">
        <v>74</v>
      </c>
      <c r="Q901" t="s">
        <v>74</v>
      </c>
      <c r="R901" t="s">
        <v>74</v>
      </c>
      <c r="S901" t="s">
        <v>74</v>
      </c>
      <c r="T901" t="s">
        <v>74</v>
      </c>
      <c r="U901" t="s">
        <v>11904</v>
      </c>
      <c r="V901" t="s">
        <v>11905</v>
      </c>
      <c r="W901" t="s">
        <v>11906</v>
      </c>
      <c r="X901" t="s">
        <v>11907</v>
      </c>
      <c r="Y901" t="s">
        <v>11908</v>
      </c>
      <c r="Z901" t="s">
        <v>74</v>
      </c>
      <c r="AA901" t="s">
        <v>11909</v>
      </c>
      <c r="AB901" t="s">
        <v>74</v>
      </c>
      <c r="AC901" t="s">
        <v>74</v>
      </c>
      <c r="AD901" t="s">
        <v>74</v>
      </c>
      <c r="AE901" t="s">
        <v>74</v>
      </c>
      <c r="AF901" t="s">
        <v>74</v>
      </c>
      <c r="AG901">
        <v>21</v>
      </c>
      <c r="AH901">
        <v>53</v>
      </c>
      <c r="AI901">
        <v>63</v>
      </c>
      <c r="AJ901">
        <v>0</v>
      </c>
      <c r="AK901">
        <v>9</v>
      </c>
      <c r="AL901" t="s">
        <v>2242</v>
      </c>
      <c r="AM901" t="s">
        <v>2243</v>
      </c>
      <c r="AN901" t="s">
        <v>2244</v>
      </c>
      <c r="AO901" t="s">
        <v>2245</v>
      </c>
      <c r="AP901" t="s">
        <v>74</v>
      </c>
      <c r="AQ901" t="s">
        <v>74</v>
      </c>
      <c r="AR901" t="s">
        <v>2246</v>
      </c>
      <c r="AS901" t="s">
        <v>2247</v>
      </c>
      <c r="AT901" t="s">
        <v>11304</v>
      </c>
      <c r="AU901">
        <v>1998</v>
      </c>
      <c r="AV901">
        <v>33</v>
      </c>
      <c r="AW901">
        <v>3</v>
      </c>
      <c r="AX901" t="s">
        <v>74</v>
      </c>
      <c r="AY901" t="s">
        <v>74</v>
      </c>
      <c r="AZ901" t="s">
        <v>74</v>
      </c>
      <c r="BA901" t="s">
        <v>74</v>
      </c>
      <c r="BB901">
        <v>501</v>
      </c>
      <c r="BC901">
        <v>511</v>
      </c>
      <c r="BD901" t="s">
        <v>74</v>
      </c>
      <c r="BE901" t="s">
        <v>11910</v>
      </c>
      <c r="BF901" t="str">
        <f>HYPERLINK("http://dx.doi.org/10.1111/j.1945-5100.1998.tb01654.x","http://dx.doi.org/10.1111/j.1945-5100.1998.tb01654.x")</f>
        <v>http://dx.doi.org/10.1111/j.1945-5100.1998.tb01654.x</v>
      </c>
      <c r="BG901" t="s">
        <v>74</v>
      </c>
      <c r="BH901" t="s">
        <v>74</v>
      </c>
      <c r="BI901">
        <v>11</v>
      </c>
      <c r="BJ901" t="s">
        <v>303</v>
      </c>
      <c r="BK901" t="s">
        <v>95</v>
      </c>
      <c r="BL901" t="s">
        <v>303</v>
      </c>
      <c r="BM901" t="s">
        <v>11900</v>
      </c>
      <c r="BN901" t="s">
        <v>74</v>
      </c>
      <c r="BO901" t="s">
        <v>74</v>
      </c>
      <c r="BP901" t="s">
        <v>74</v>
      </c>
      <c r="BQ901" t="s">
        <v>74</v>
      </c>
      <c r="BR901" t="s">
        <v>98</v>
      </c>
      <c r="BS901" t="s">
        <v>11911</v>
      </c>
      <c r="BT901" t="str">
        <f>HYPERLINK("https%3A%2F%2Fwww.webofscience.com%2Fwos%2Fwoscc%2Ffull-record%2FWOS:000073841400011","View Full Record in Web of Science")</f>
        <v>View Full Record in Web of Science</v>
      </c>
    </row>
    <row r="902" spans="1:72" x14ac:dyDescent="0.15">
      <c r="A902" t="s">
        <v>72</v>
      </c>
      <c r="B902" t="s">
        <v>11912</v>
      </c>
      <c r="C902" t="s">
        <v>74</v>
      </c>
      <c r="D902" t="s">
        <v>74</v>
      </c>
      <c r="E902" t="s">
        <v>74</v>
      </c>
      <c r="F902" t="s">
        <v>11912</v>
      </c>
      <c r="G902" t="s">
        <v>74</v>
      </c>
      <c r="H902" t="s">
        <v>74</v>
      </c>
      <c r="I902" t="s">
        <v>11913</v>
      </c>
      <c r="J902" t="s">
        <v>11914</v>
      </c>
      <c r="K902" t="s">
        <v>74</v>
      </c>
      <c r="L902" t="s">
        <v>74</v>
      </c>
      <c r="M902" t="s">
        <v>77</v>
      </c>
      <c r="N902" t="s">
        <v>123</v>
      </c>
      <c r="O902" t="s">
        <v>11915</v>
      </c>
      <c r="P902" t="s">
        <v>11916</v>
      </c>
      <c r="Q902" t="s">
        <v>11917</v>
      </c>
      <c r="R902" t="s">
        <v>74</v>
      </c>
      <c r="S902" t="s">
        <v>11918</v>
      </c>
      <c r="T902" t="s">
        <v>11919</v>
      </c>
      <c r="U902" t="s">
        <v>11920</v>
      </c>
      <c r="V902" t="s">
        <v>11921</v>
      </c>
      <c r="W902" t="s">
        <v>11922</v>
      </c>
      <c r="X902" t="s">
        <v>11923</v>
      </c>
      <c r="Y902" t="s">
        <v>11924</v>
      </c>
      <c r="Z902" t="s">
        <v>74</v>
      </c>
      <c r="AA902" t="s">
        <v>74</v>
      </c>
      <c r="AB902" t="s">
        <v>74</v>
      </c>
      <c r="AC902" t="s">
        <v>74</v>
      </c>
      <c r="AD902" t="s">
        <v>74</v>
      </c>
      <c r="AE902" t="s">
        <v>74</v>
      </c>
      <c r="AF902" t="s">
        <v>74</v>
      </c>
      <c r="AG902">
        <v>14</v>
      </c>
      <c r="AH902">
        <v>18</v>
      </c>
      <c r="AI902">
        <v>22</v>
      </c>
      <c r="AJ902">
        <v>0</v>
      </c>
      <c r="AK902">
        <v>6</v>
      </c>
      <c r="AL902" t="s">
        <v>4142</v>
      </c>
      <c r="AM902" t="s">
        <v>1101</v>
      </c>
      <c r="AN902" t="s">
        <v>4143</v>
      </c>
      <c r="AO902" t="s">
        <v>11925</v>
      </c>
      <c r="AP902" t="s">
        <v>74</v>
      </c>
      <c r="AQ902" t="s">
        <v>74</v>
      </c>
      <c r="AR902" t="s">
        <v>11926</v>
      </c>
      <c r="AS902" t="s">
        <v>11927</v>
      </c>
      <c r="AT902" t="s">
        <v>11304</v>
      </c>
      <c r="AU902">
        <v>1998</v>
      </c>
      <c r="AV902">
        <v>59</v>
      </c>
      <c r="AW902">
        <v>1</v>
      </c>
      <c r="AX902" t="s">
        <v>74</v>
      </c>
      <c r="AY902" t="s">
        <v>74</v>
      </c>
      <c r="AZ902" t="s">
        <v>74</v>
      </c>
      <c r="BA902" t="s">
        <v>74</v>
      </c>
      <c r="BB902">
        <v>77</v>
      </c>
      <c r="BC902">
        <v>88</v>
      </c>
      <c r="BD902" t="s">
        <v>74</v>
      </c>
      <c r="BE902" t="s">
        <v>11928</v>
      </c>
      <c r="BF902" t="str">
        <f>HYPERLINK("http://dx.doi.org/10.1006/mchj.1998.1586","http://dx.doi.org/10.1006/mchj.1998.1586")</f>
        <v>http://dx.doi.org/10.1006/mchj.1998.1586</v>
      </c>
      <c r="BG902" t="s">
        <v>74</v>
      </c>
      <c r="BH902" t="s">
        <v>74</v>
      </c>
      <c r="BI902">
        <v>12</v>
      </c>
      <c r="BJ902" t="s">
        <v>3602</v>
      </c>
      <c r="BK902" t="s">
        <v>235</v>
      </c>
      <c r="BL902" t="s">
        <v>1284</v>
      </c>
      <c r="BM902" t="s">
        <v>11929</v>
      </c>
      <c r="BN902" t="s">
        <v>74</v>
      </c>
      <c r="BO902" t="s">
        <v>74</v>
      </c>
      <c r="BP902" t="s">
        <v>74</v>
      </c>
      <c r="BQ902" t="s">
        <v>74</v>
      </c>
      <c r="BR902" t="s">
        <v>98</v>
      </c>
      <c r="BS902" t="s">
        <v>11930</v>
      </c>
      <c r="BT902" t="str">
        <f>HYPERLINK("https%3A%2F%2Fwww.webofscience.com%2Fwos%2Fwoscc%2Ffull-record%2FWOS:000074023100007","View Full Record in Web of Science")</f>
        <v>View Full Record in Web of Science</v>
      </c>
    </row>
    <row r="903" spans="1:72" x14ac:dyDescent="0.15">
      <c r="A903" t="s">
        <v>72</v>
      </c>
      <c r="B903" t="s">
        <v>11931</v>
      </c>
      <c r="C903" t="s">
        <v>74</v>
      </c>
      <c r="D903" t="s">
        <v>74</v>
      </c>
      <c r="E903" t="s">
        <v>74</v>
      </c>
      <c r="F903" t="s">
        <v>11931</v>
      </c>
      <c r="G903" t="s">
        <v>74</v>
      </c>
      <c r="H903" t="s">
        <v>74</v>
      </c>
      <c r="I903" t="s">
        <v>11932</v>
      </c>
      <c r="J903" t="s">
        <v>11914</v>
      </c>
      <c r="K903" t="s">
        <v>74</v>
      </c>
      <c r="L903" t="s">
        <v>74</v>
      </c>
      <c r="M903" t="s">
        <v>77</v>
      </c>
      <c r="N903" t="s">
        <v>123</v>
      </c>
      <c r="O903" t="s">
        <v>11915</v>
      </c>
      <c r="P903" t="s">
        <v>11916</v>
      </c>
      <c r="Q903" t="s">
        <v>11917</v>
      </c>
      <c r="R903" t="s">
        <v>74</v>
      </c>
      <c r="S903" t="s">
        <v>11918</v>
      </c>
      <c r="T903" t="s">
        <v>74</v>
      </c>
      <c r="U903" t="s">
        <v>11933</v>
      </c>
      <c r="V903" t="s">
        <v>11934</v>
      </c>
      <c r="W903" t="s">
        <v>11935</v>
      </c>
      <c r="X903" t="s">
        <v>11936</v>
      </c>
      <c r="Y903" t="s">
        <v>11937</v>
      </c>
      <c r="Z903" t="s">
        <v>74</v>
      </c>
      <c r="AA903" t="s">
        <v>11938</v>
      </c>
      <c r="AB903" t="s">
        <v>11939</v>
      </c>
      <c r="AC903" t="s">
        <v>74</v>
      </c>
      <c r="AD903" t="s">
        <v>74</v>
      </c>
      <c r="AE903" t="s">
        <v>74</v>
      </c>
      <c r="AF903" t="s">
        <v>74</v>
      </c>
      <c r="AG903">
        <v>8</v>
      </c>
      <c r="AH903">
        <v>15</v>
      </c>
      <c r="AI903">
        <v>15</v>
      </c>
      <c r="AJ903">
        <v>0</v>
      </c>
      <c r="AK903">
        <v>2</v>
      </c>
      <c r="AL903" t="s">
        <v>3722</v>
      </c>
      <c r="AM903" t="s">
        <v>1038</v>
      </c>
      <c r="AN903" t="s">
        <v>3723</v>
      </c>
      <c r="AO903" t="s">
        <v>11925</v>
      </c>
      <c r="AP903" t="s">
        <v>11940</v>
      </c>
      <c r="AQ903" t="s">
        <v>74</v>
      </c>
      <c r="AR903" t="s">
        <v>11926</v>
      </c>
      <c r="AS903" t="s">
        <v>11927</v>
      </c>
      <c r="AT903" t="s">
        <v>11304</v>
      </c>
      <c r="AU903">
        <v>1998</v>
      </c>
      <c r="AV903">
        <v>59</v>
      </c>
      <c r="AW903">
        <v>1</v>
      </c>
      <c r="AX903" t="s">
        <v>74</v>
      </c>
      <c r="AY903" t="s">
        <v>74</v>
      </c>
      <c r="AZ903" t="s">
        <v>74</v>
      </c>
      <c r="BA903" t="s">
        <v>74</v>
      </c>
      <c r="BB903">
        <v>136</v>
      </c>
      <c r="BC903">
        <v>143</v>
      </c>
      <c r="BD903" t="s">
        <v>74</v>
      </c>
      <c r="BE903" t="s">
        <v>11941</v>
      </c>
      <c r="BF903" t="str">
        <f>HYPERLINK("http://dx.doi.org/10.1006/mchj.1998.1584","http://dx.doi.org/10.1006/mchj.1998.1584")</f>
        <v>http://dx.doi.org/10.1006/mchj.1998.1584</v>
      </c>
      <c r="BG903" t="s">
        <v>74</v>
      </c>
      <c r="BH903" t="s">
        <v>74</v>
      </c>
      <c r="BI903">
        <v>8</v>
      </c>
      <c r="BJ903" t="s">
        <v>3602</v>
      </c>
      <c r="BK903" t="s">
        <v>144</v>
      </c>
      <c r="BL903" t="s">
        <v>1284</v>
      </c>
      <c r="BM903" t="s">
        <v>11929</v>
      </c>
      <c r="BN903" t="s">
        <v>74</v>
      </c>
      <c r="BO903" t="s">
        <v>74</v>
      </c>
      <c r="BP903" t="s">
        <v>74</v>
      </c>
      <c r="BQ903" t="s">
        <v>74</v>
      </c>
      <c r="BR903" t="s">
        <v>98</v>
      </c>
      <c r="BS903" t="s">
        <v>11942</v>
      </c>
      <c r="BT903" t="str">
        <f>HYPERLINK("https%3A%2F%2Fwww.webofscience.com%2Fwos%2Fwoscc%2Ffull-record%2FWOS:000074023100013","View Full Record in Web of Science")</f>
        <v>View Full Record in Web of Science</v>
      </c>
    </row>
    <row r="904" spans="1:72" x14ac:dyDescent="0.15">
      <c r="A904" t="s">
        <v>72</v>
      </c>
      <c r="B904" t="s">
        <v>11943</v>
      </c>
      <c r="C904" t="s">
        <v>74</v>
      </c>
      <c r="D904" t="s">
        <v>74</v>
      </c>
      <c r="E904" t="s">
        <v>74</v>
      </c>
      <c r="F904" t="s">
        <v>11943</v>
      </c>
      <c r="G904" t="s">
        <v>74</v>
      </c>
      <c r="H904" t="s">
        <v>74</v>
      </c>
      <c r="I904" t="s">
        <v>11944</v>
      </c>
      <c r="J904" t="s">
        <v>11945</v>
      </c>
      <c r="K904" t="s">
        <v>74</v>
      </c>
      <c r="L904" t="s">
        <v>74</v>
      </c>
      <c r="M904" t="s">
        <v>77</v>
      </c>
      <c r="N904" t="s">
        <v>103</v>
      </c>
      <c r="O904" t="s">
        <v>74</v>
      </c>
      <c r="P904" t="s">
        <v>74</v>
      </c>
      <c r="Q904" t="s">
        <v>74</v>
      </c>
      <c r="R904" t="s">
        <v>74</v>
      </c>
      <c r="S904" t="s">
        <v>74</v>
      </c>
      <c r="T904" t="s">
        <v>11946</v>
      </c>
      <c r="U904" t="s">
        <v>11947</v>
      </c>
      <c r="V904" t="s">
        <v>11948</v>
      </c>
      <c r="W904" t="s">
        <v>11949</v>
      </c>
      <c r="X904" t="s">
        <v>11950</v>
      </c>
      <c r="Y904" t="s">
        <v>11951</v>
      </c>
      <c r="Z904" t="s">
        <v>74</v>
      </c>
      <c r="AA904" t="s">
        <v>74</v>
      </c>
      <c r="AB904" t="s">
        <v>74</v>
      </c>
      <c r="AC904" t="s">
        <v>74</v>
      </c>
      <c r="AD904" t="s">
        <v>74</v>
      </c>
      <c r="AE904" t="s">
        <v>74</v>
      </c>
      <c r="AF904" t="s">
        <v>74</v>
      </c>
      <c r="AG904">
        <v>15</v>
      </c>
      <c r="AH904">
        <v>8</v>
      </c>
      <c r="AI904">
        <v>9</v>
      </c>
      <c r="AJ904">
        <v>0</v>
      </c>
      <c r="AK904">
        <v>2</v>
      </c>
      <c r="AL904" t="s">
        <v>11952</v>
      </c>
      <c r="AM904" t="s">
        <v>11953</v>
      </c>
      <c r="AN904" t="s">
        <v>11954</v>
      </c>
      <c r="AO904" t="s">
        <v>11955</v>
      </c>
      <c r="AP904" t="s">
        <v>74</v>
      </c>
      <c r="AQ904" t="s">
        <v>74</v>
      </c>
      <c r="AR904" t="s">
        <v>11945</v>
      </c>
      <c r="AS904" t="s">
        <v>11956</v>
      </c>
      <c r="AT904" t="s">
        <v>11320</v>
      </c>
      <c r="AU904">
        <v>1998</v>
      </c>
      <c r="AV904">
        <v>90</v>
      </c>
      <c r="AW904">
        <v>3</v>
      </c>
      <c r="AX904" t="s">
        <v>74</v>
      </c>
      <c r="AY904" t="s">
        <v>74</v>
      </c>
      <c r="AZ904" t="s">
        <v>74</v>
      </c>
      <c r="BA904" t="s">
        <v>74</v>
      </c>
      <c r="BB904">
        <v>368</v>
      </c>
      <c r="BC904">
        <v>371</v>
      </c>
      <c r="BD904" t="s">
        <v>74</v>
      </c>
      <c r="BE904" t="s">
        <v>11957</v>
      </c>
      <c r="BF904" t="str">
        <f>HYPERLINK("http://dx.doi.org/10.2307/3761394","http://dx.doi.org/10.2307/3761394")</f>
        <v>http://dx.doi.org/10.2307/3761394</v>
      </c>
      <c r="BG904" t="s">
        <v>74</v>
      </c>
      <c r="BH904" t="s">
        <v>74</v>
      </c>
      <c r="BI904">
        <v>4</v>
      </c>
      <c r="BJ904" t="s">
        <v>2348</v>
      </c>
      <c r="BK904" t="s">
        <v>95</v>
      </c>
      <c r="BL904" t="s">
        <v>2348</v>
      </c>
      <c r="BM904" t="s">
        <v>11958</v>
      </c>
      <c r="BN904" t="s">
        <v>74</v>
      </c>
      <c r="BO904" t="s">
        <v>74</v>
      </c>
      <c r="BP904" t="s">
        <v>74</v>
      </c>
      <c r="BQ904" t="s">
        <v>74</v>
      </c>
      <c r="BR904" t="s">
        <v>98</v>
      </c>
      <c r="BS904" t="s">
        <v>11959</v>
      </c>
      <c r="BT904" t="str">
        <f>HYPERLINK("https%3A%2F%2Fwww.webofscience.com%2Fwos%2Fwoscc%2Ffull-record%2FWOS:000074071300004","View Full Record in Web of Science")</f>
        <v>View Full Record in Web of Science</v>
      </c>
    </row>
    <row r="905" spans="1:72" x14ac:dyDescent="0.15">
      <c r="A905" t="s">
        <v>72</v>
      </c>
      <c r="B905" t="s">
        <v>11960</v>
      </c>
      <c r="C905" t="s">
        <v>74</v>
      </c>
      <c r="D905" t="s">
        <v>74</v>
      </c>
      <c r="E905" t="s">
        <v>74</v>
      </c>
      <c r="F905" t="s">
        <v>11960</v>
      </c>
      <c r="G905" t="s">
        <v>74</v>
      </c>
      <c r="H905" t="s">
        <v>74</v>
      </c>
      <c r="I905" t="s">
        <v>11961</v>
      </c>
      <c r="J905" t="s">
        <v>2509</v>
      </c>
      <c r="K905" t="s">
        <v>74</v>
      </c>
      <c r="L905" t="s">
        <v>74</v>
      </c>
      <c r="M905" t="s">
        <v>2510</v>
      </c>
      <c r="N905" t="s">
        <v>103</v>
      </c>
      <c r="O905" t="s">
        <v>74</v>
      </c>
      <c r="P905" t="s">
        <v>74</v>
      </c>
      <c r="Q905" t="s">
        <v>74</v>
      </c>
      <c r="R905" t="s">
        <v>74</v>
      </c>
      <c r="S905" t="s">
        <v>74</v>
      </c>
      <c r="T905" t="s">
        <v>74</v>
      </c>
      <c r="U905" t="s">
        <v>74</v>
      </c>
      <c r="V905" t="s">
        <v>11962</v>
      </c>
      <c r="W905" t="s">
        <v>2512</v>
      </c>
      <c r="X905" t="s">
        <v>2513</v>
      </c>
      <c r="Y905" t="s">
        <v>11963</v>
      </c>
      <c r="Z905" t="s">
        <v>74</v>
      </c>
      <c r="AA905" t="s">
        <v>74</v>
      </c>
      <c r="AB905" t="s">
        <v>74</v>
      </c>
      <c r="AC905" t="s">
        <v>74</v>
      </c>
      <c r="AD905" t="s">
        <v>74</v>
      </c>
      <c r="AE905" t="s">
        <v>74</v>
      </c>
      <c r="AF905" t="s">
        <v>74</v>
      </c>
      <c r="AG905">
        <v>6</v>
      </c>
      <c r="AH905">
        <v>1</v>
      </c>
      <c r="AI905">
        <v>1</v>
      </c>
      <c r="AJ905">
        <v>0</v>
      </c>
      <c r="AK905">
        <v>0</v>
      </c>
      <c r="AL905" t="s">
        <v>2517</v>
      </c>
      <c r="AM905" t="s">
        <v>2518</v>
      </c>
      <c r="AN905" t="s">
        <v>2519</v>
      </c>
      <c r="AO905" t="s">
        <v>2520</v>
      </c>
      <c r="AP905" t="s">
        <v>74</v>
      </c>
      <c r="AQ905" t="s">
        <v>74</v>
      </c>
      <c r="AR905" t="s">
        <v>2521</v>
      </c>
      <c r="AS905" t="s">
        <v>2522</v>
      </c>
      <c r="AT905" t="s">
        <v>11320</v>
      </c>
      <c r="AU905">
        <v>1998</v>
      </c>
      <c r="AV905">
        <v>38</v>
      </c>
      <c r="AW905">
        <v>3</v>
      </c>
      <c r="AX905" t="s">
        <v>74</v>
      </c>
      <c r="AY905" t="s">
        <v>74</v>
      </c>
      <c r="AZ905" t="s">
        <v>74</v>
      </c>
      <c r="BA905" t="s">
        <v>74</v>
      </c>
      <c r="BB905">
        <v>372</v>
      </c>
      <c r="BC905">
        <v>380</v>
      </c>
      <c r="BD905" t="s">
        <v>74</v>
      </c>
      <c r="BE905" t="s">
        <v>74</v>
      </c>
      <c r="BF905" t="s">
        <v>74</v>
      </c>
      <c r="BG905" t="s">
        <v>74</v>
      </c>
      <c r="BH905" t="s">
        <v>74</v>
      </c>
      <c r="BI905">
        <v>9</v>
      </c>
      <c r="BJ905" t="s">
        <v>451</v>
      </c>
      <c r="BK905" t="s">
        <v>95</v>
      </c>
      <c r="BL905" t="s">
        <v>451</v>
      </c>
      <c r="BM905" t="s">
        <v>11964</v>
      </c>
      <c r="BN905" t="s">
        <v>74</v>
      </c>
      <c r="BO905" t="s">
        <v>74</v>
      </c>
      <c r="BP905" t="s">
        <v>74</v>
      </c>
      <c r="BQ905" t="s">
        <v>74</v>
      </c>
      <c r="BR905" t="s">
        <v>98</v>
      </c>
      <c r="BS905" t="s">
        <v>11965</v>
      </c>
      <c r="BT905" t="str">
        <f>HYPERLINK("https%3A%2F%2Fwww.webofscience.com%2Fwos%2Fwoscc%2Ffull-record%2FWOS:000074878200007","View Full Record in Web of Science")</f>
        <v>View Full Record in Web of Science</v>
      </c>
    </row>
    <row r="906" spans="1:72" x14ac:dyDescent="0.15">
      <c r="A906" t="s">
        <v>72</v>
      </c>
      <c r="B906" t="s">
        <v>11966</v>
      </c>
      <c r="C906" t="s">
        <v>74</v>
      </c>
      <c r="D906" t="s">
        <v>74</v>
      </c>
      <c r="E906" t="s">
        <v>74</v>
      </c>
      <c r="F906" t="s">
        <v>11966</v>
      </c>
      <c r="G906" t="s">
        <v>74</v>
      </c>
      <c r="H906" t="s">
        <v>74</v>
      </c>
      <c r="I906" t="s">
        <v>11967</v>
      </c>
      <c r="J906" t="s">
        <v>2509</v>
      </c>
      <c r="K906" t="s">
        <v>74</v>
      </c>
      <c r="L906" t="s">
        <v>74</v>
      </c>
      <c r="M906" t="s">
        <v>2510</v>
      </c>
      <c r="N906" t="s">
        <v>103</v>
      </c>
      <c r="O906" t="s">
        <v>74</v>
      </c>
      <c r="P906" t="s">
        <v>74</v>
      </c>
      <c r="Q906" t="s">
        <v>74</v>
      </c>
      <c r="R906" t="s">
        <v>74</v>
      </c>
      <c r="S906" t="s">
        <v>74</v>
      </c>
      <c r="T906" t="s">
        <v>74</v>
      </c>
      <c r="U906" t="s">
        <v>11968</v>
      </c>
      <c r="V906" t="s">
        <v>11969</v>
      </c>
      <c r="W906" t="s">
        <v>2512</v>
      </c>
      <c r="X906" t="s">
        <v>2513</v>
      </c>
      <c r="Y906" t="s">
        <v>11970</v>
      </c>
      <c r="Z906" t="s">
        <v>74</v>
      </c>
      <c r="AA906" t="s">
        <v>11971</v>
      </c>
      <c r="AB906" t="s">
        <v>11972</v>
      </c>
      <c r="AC906" t="s">
        <v>74</v>
      </c>
      <c r="AD906" t="s">
        <v>74</v>
      </c>
      <c r="AE906" t="s">
        <v>74</v>
      </c>
      <c r="AF906" t="s">
        <v>74</v>
      </c>
      <c r="AG906">
        <v>38</v>
      </c>
      <c r="AH906">
        <v>8</v>
      </c>
      <c r="AI906">
        <v>10</v>
      </c>
      <c r="AJ906">
        <v>0</v>
      </c>
      <c r="AK906">
        <v>10</v>
      </c>
      <c r="AL906" t="s">
        <v>2517</v>
      </c>
      <c r="AM906" t="s">
        <v>2518</v>
      </c>
      <c r="AN906" t="s">
        <v>2519</v>
      </c>
      <c r="AO906" t="s">
        <v>2520</v>
      </c>
      <c r="AP906" t="s">
        <v>74</v>
      </c>
      <c r="AQ906" t="s">
        <v>74</v>
      </c>
      <c r="AR906" t="s">
        <v>2521</v>
      </c>
      <c r="AS906" t="s">
        <v>2522</v>
      </c>
      <c r="AT906" t="s">
        <v>11320</v>
      </c>
      <c r="AU906">
        <v>1998</v>
      </c>
      <c r="AV906">
        <v>38</v>
      </c>
      <c r="AW906">
        <v>3</v>
      </c>
      <c r="AX906" t="s">
        <v>74</v>
      </c>
      <c r="AY906" t="s">
        <v>74</v>
      </c>
      <c r="AZ906" t="s">
        <v>74</v>
      </c>
      <c r="BA906" t="s">
        <v>74</v>
      </c>
      <c r="BB906">
        <v>387</v>
      </c>
      <c r="BC906">
        <v>396</v>
      </c>
      <c r="BD906" t="s">
        <v>74</v>
      </c>
      <c r="BE906" t="s">
        <v>74</v>
      </c>
      <c r="BF906" t="s">
        <v>74</v>
      </c>
      <c r="BG906" t="s">
        <v>74</v>
      </c>
      <c r="BH906" t="s">
        <v>74</v>
      </c>
      <c r="BI906">
        <v>10</v>
      </c>
      <c r="BJ906" t="s">
        <v>451</v>
      </c>
      <c r="BK906" t="s">
        <v>95</v>
      </c>
      <c r="BL906" t="s">
        <v>451</v>
      </c>
      <c r="BM906" t="s">
        <v>11964</v>
      </c>
      <c r="BN906" t="s">
        <v>74</v>
      </c>
      <c r="BO906" t="s">
        <v>74</v>
      </c>
      <c r="BP906" t="s">
        <v>74</v>
      </c>
      <c r="BQ906" t="s">
        <v>74</v>
      </c>
      <c r="BR906" t="s">
        <v>98</v>
      </c>
      <c r="BS906" t="s">
        <v>11973</v>
      </c>
      <c r="BT906" t="str">
        <f>HYPERLINK("https%3A%2F%2Fwww.webofscience.com%2Fwos%2Fwoscc%2Ffull-record%2FWOS:000074878200009","View Full Record in Web of Science")</f>
        <v>View Full Record in Web of Science</v>
      </c>
    </row>
    <row r="907" spans="1:72" x14ac:dyDescent="0.15">
      <c r="A907" t="s">
        <v>72</v>
      </c>
      <c r="B907" t="s">
        <v>11974</v>
      </c>
      <c r="C907" t="s">
        <v>74</v>
      </c>
      <c r="D907" t="s">
        <v>74</v>
      </c>
      <c r="E907" t="s">
        <v>74</v>
      </c>
      <c r="F907" t="s">
        <v>11974</v>
      </c>
      <c r="G907" t="s">
        <v>74</v>
      </c>
      <c r="H907" t="s">
        <v>74</v>
      </c>
      <c r="I907" t="s">
        <v>11975</v>
      </c>
      <c r="J907" t="s">
        <v>2509</v>
      </c>
      <c r="K907" t="s">
        <v>74</v>
      </c>
      <c r="L907" t="s">
        <v>74</v>
      </c>
      <c r="M907" t="s">
        <v>2510</v>
      </c>
      <c r="N907" t="s">
        <v>103</v>
      </c>
      <c r="O907" t="s">
        <v>74</v>
      </c>
      <c r="P907" t="s">
        <v>74</v>
      </c>
      <c r="Q907" t="s">
        <v>74</v>
      </c>
      <c r="R907" t="s">
        <v>74</v>
      </c>
      <c r="S907" t="s">
        <v>74</v>
      </c>
      <c r="T907" t="s">
        <v>74</v>
      </c>
      <c r="U907" t="s">
        <v>74</v>
      </c>
      <c r="V907" t="s">
        <v>11976</v>
      </c>
      <c r="W907" t="s">
        <v>11977</v>
      </c>
      <c r="X907" t="s">
        <v>11978</v>
      </c>
      <c r="Y907" t="s">
        <v>11979</v>
      </c>
      <c r="Z907" t="s">
        <v>74</v>
      </c>
      <c r="AA907" t="s">
        <v>11980</v>
      </c>
      <c r="AB907" t="s">
        <v>11981</v>
      </c>
      <c r="AC907" t="s">
        <v>74</v>
      </c>
      <c r="AD907" t="s">
        <v>74</v>
      </c>
      <c r="AE907" t="s">
        <v>74</v>
      </c>
      <c r="AF907" t="s">
        <v>74</v>
      </c>
      <c r="AG907">
        <v>9</v>
      </c>
      <c r="AH907">
        <v>8</v>
      </c>
      <c r="AI907">
        <v>8</v>
      </c>
      <c r="AJ907">
        <v>0</v>
      </c>
      <c r="AK907">
        <v>3</v>
      </c>
      <c r="AL907" t="s">
        <v>2517</v>
      </c>
      <c r="AM907" t="s">
        <v>2518</v>
      </c>
      <c r="AN907" t="s">
        <v>2519</v>
      </c>
      <c r="AO907" t="s">
        <v>2520</v>
      </c>
      <c r="AP907" t="s">
        <v>74</v>
      </c>
      <c r="AQ907" t="s">
        <v>74</v>
      </c>
      <c r="AR907" t="s">
        <v>2521</v>
      </c>
      <c r="AS907" t="s">
        <v>2522</v>
      </c>
      <c r="AT907" t="s">
        <v>11320</v>
      </c>
      <c r="AU907">
        <v>1998</v>
      </c>
      <c r="AV907">
        <v>38</v>
      </c>
      <c r="AW907">
        <v>3</v>
      </c>
      <c r="AX907" t="s">
        <v>74</v>
      </c>
      <c r="AY907" t="s">
        <v>74</v>
      </c>
      <c r="AZ907" t="s">
        <v>74</v>
      </c>
      <c r="BA907" t="s">
        <v>74</v>
      </c>
      <c r="BB907">
        <v>445</v>
      </c>
      <c r="BC907">
        <v>452</v>
      </c>
      <c r="BD907" t="s">
        <v>74</v>
      </c>
      <c r="BE907" t="s">
        <v>74</v>
      </c>
      <c r="BF907" t="s">
        <v>74</v>
      </c>
      <c r="BG907" t="s">
        <v>74</v>
      </c>
      <c r="BH907" t="s">
        <v>74</v>
      </c>
      <c r="BI907">
        <v>8</v>
      </c>
      <c r="BJ907" t="s">
        <v>451</v>
      </c>
      <c r="BK907" t="s">
        <v>95</v>
      </c>
      <c r="BL907" t="s">
        <v>451</v>
      </c>
      <c r="BM907" t="s">
        <v>11964</v>
      </c>
      <c r="BN907" t="s">
        <v>74</v>
      </c>
      <c r="BO907" t="s">
        <v>74</v>
      </c>
      <c r="BP907" t="s">
        <v>74</v>
      </c>
      <c r="BQ907" t="s">
        <v>74</v>
      </c>
      <c r="BR907" t="s">
        <v>98</v>
      </c>
      <c r="BS907" t="s">
        <v>11982</v>
      </c>
      <c r="BT907" t="str">
        <f>HYPERLINK("https%3A%2F%2Fwww.webofscience.com%2Fwos%2Fwoscc%2Ffull-record%2FWOS:000074878200018","View Full Record in Web of Science")</f>
        <v>View Full Record in Web of Science</v>
      </c>
    </row>
    <row r="908" spans="1:72" x14ac:dyDescent="0.15">
      <c r="A908" t="s">
        <v>72</v>
      </c>
      <c r="B908" t="s">
        <v>11983</v>
      </c>
      <c r="C908" t="s">
        <v>74</v>
      </c>
      <c r="D908" t="s">
        <v>74</v>
      </c>
      <c r="E908" t="s">
        <v>74</v>
      </c>
      <c r="F908" t="s">
        <v>11983</v>
      </c>
      <c r="G908" t="s">
        <v>74</v>
      </c>
      <c r="H908" t="s">
        <v>74</v>
      </c>
      <c r="I908" t="s">
        <v>11984</v>
      </c>
      <c r="J908" t="s">
        <v>7861</v>
      </c>
      <c r="K908" t="s">
        <v>74</v>
      </c>
      <c r="L908" t="s">
        <v>74</v>
      </c>
      <c r="M908" t="s">
        <v>77</v>
      </c>
      <c r="N908" t="s">
        <v>103</v>
      </c>
      <c r="O908" t="s">
        <v>74</v>
      </c>
      <c r="P908" t="s">
        <v>74</v>
      </c>
      <c r="Q908" t="s">
        <v>74</v>
      </c>
      <c r="R908" t="s">
        <v>74</v>
      </c>
      <c r="S908" t="s">
        <v>74</v>
      </c>
      <c r="T908" t="s">
        <v>11985</v>
      </c>
      <c r="U908" t="s">
        <v>11986</v>
      </c>
      <c r="V908" t="s">
        <v>11987</v>
      </c>
      <c r="W908" t="s">
        <v>11988</v>
      </c>
      <c r="X908" t="s">
        <v>11989</v>
      </c>
      <c r="Y908" t="s">
        <v>11990</v>
      </c>
      <c r="Z908" t="s">
        <v>11991</v>
      </c>
      <c r="AA908" t="s">
        <v>7778</v>
      </c>
      <c r="AB908" t="s">
        <v>11992</v>
      </c>
      <c r="AC908" t="s">
        <v>74</v>
      </c>
      <c r="AD908" t="s">
        <v>74</v>
      </c>
      <c r="AE908" t="s">
        <v>74</v>
      </c>
      <c r="AF908" t="s">
        <v>74</v>
      </c>
      <c r="AG908">
        <v>92</v>
      </c>
      <c r="AH908">
        <v>90</v>
      </c>
      <c r="AI908">
        <v>119</v>
      </c>
      <c r="AJ908">
        <v>3</v>
      </c>
      <c r="AK908">
        <v>22</v>
      </c>
      <c r="AL908" t="s">
        <v>1037</v>
      </c>
      <c r="AM908" t="s">
        <v>1038</v>
      </c>
      <c r="AN908" t="s">
        <v>1039</v>
      </c>
      <c r="AO908" t="s">
        <v>7867</v>
      </c>
      <c r="AP908" t="s">
        <v>74</v>
      </c>
      <c r="AQ908" t="s">
        <v>74</v>
      </c>
      <c r="AR908" t="s">
        <v>7868</v>
      </c>
      <c r="AS908" t="s">
        <v>7869</v>
      </c>
      <c r="AT908" t="s">
        <v>11304</v>
      </c>
      <c r="AU908">
        <v>1998</v>
      </c>
      <c r="AV908">
        <v>139</v>
      </c>
      <c r="AW908" t="s">
        <v>1282</v>
      </c>
      <c r="AX908" t="s">
        <v>74</v>
      </c>
      <c r="AY908" t="s">
        <v>74</v>
      </c>
      <c r="AZ908" t="s">
        <v>74</v>
      </c>
      <c r="BA908" t="s">
        <v>74</v>
      </c>
      <c r="BB908">
        <v>195</v>
      </c>
      <c r="BC908">
        <v>211</v>
      </c>
      <c r="BD908" t="s">
        <v>74</v>
      </c>
      <c r="BE908" t="s">
        <v>11993</v>
      </c>
      <c r="BF908" t="str">
        <f>HYPERLINK("http://dx.doi.org/10.1016/S0031-0182(97)00144-2","http://dx.doi.org/10.1016/S0031-0182(97)00144-2")</f>
        <v>http://dx.doi.org/10.1016/S0031-0182(97)00144-2</v>
      </c>
      <c r="BG908" t="s">
        <v>74</v>
      </c>
      <c r="BH908" t="s">
        <v>74</v>
      </c>
      <c r="BI908">
        <v>17</v>
      </c>
      <c r="BJ908" t="s">
        <v>7871</v>
      </c>
      <c r="BK908" t="s">
        <v>95</v>
      </c>
      <c r="BL908" t="s">
        <v>7872</v>
      </c>
      <c r="BM908" t="s">
        <v>11994</v>
      </c>
      <c r="BN908" t="s">
        <v>74</v>
      </c>
      <c r="BO908" t="s">
        <v>483</v>
      </c>
      <c r="BP908" t="s">
        <v>74</v>
      </c>
      <c r="BQ908" t="s">
        <v>74</v>
      </c>
      <c r="BR908" t="s">
        <v>98</v>
      </c>
      <c r="BS908" t="s">
        <v>11995</v>
      </c>
      <c r="BT908" t="str">
        <f>HYPERLINK("https%3A%2F%2Fwww.webofscience.com%2Fwos%2Fwoscc%2Ffull-record%2FWOS:000073633900005","View Full Record in Web of Science")</f>
        <v>View Full Record in Web of Science</v>
      </c>
    </row>
    <row r="909" spans="1:72" x14ac:dyDescent="0.15">
      <c r="A909" t="s">
        <v>72</v>
      </c>
      <c r="B909" t="s">
        <v>11996</v>
      </c>
      <c r="C909" t="s">
        <v>74</v>
      </c>
      <c r="D909" t="s">
        <v>74</v>
      </c>
      <c r="E909" t="s">
        <v>74</v>
      </c>
      <c r="F909" t="s">
        <v>11996</v>
      </c>
      <c r="G909" t="s">
        <v>74</v>
      </c>
      <c r="H909" t="s">
        <v>74</v>
      </c>
      <c r="I909" t="s">
        <v>11997</v>
      </c>
      <c r="J909" t="s">
        <v>7861</v>
      </c>
      <c r="K909" t="s">
        <v>74</v>
      </c>
      <c r="L909" t="s">
        <v>74</v>
      </c>
      <c r="M909" t="s">
        <v>77</v>
      </c>
      <c r="N909" t="s">
        <v>103</v>
      </c>
      <c r="O909" t="s">
        <v>74</v>
      </c>
      <c r="P909" t="s">
        <v>74</v>
      </c>
      <c r="Q909" t="s">
        <v>74</v>
      </c>
      <c r="R909" t="s">
        <v>74</v>
      </c>
      <c r="S909" t="s">
        <v>74</v>
      </c>
      <c r="T909" t="s">
        <v>11998</v>
      </c>
      <c r="U909" t="s">
        <v>11999</v>
      </c>
      <c r="V909" t="s">
        <v>12000</v>
      </c>
      <c r="W909" t="s">
        <v>12001</v>
      </c>
      <c r="X909" t="s">
        <v>74</v>
      </c>
      <c r="Y909" t="s">
        <v>12002</v>
      </c>
      <c r="Z909" t="s">
        <v>74</v>
      </c>
      <c r="AA909" t="s">
        <v>74</v>
      </c>
      <c r="AB909" t="s">
        <v>74</v>
      </c>
      <c r="AC909" t="s">
        <v>74</v>
      </c>
      <c r="AD909" t="s">
        <v>74</v>
      </c>
      <c r="AE909" t="s">
        <v>74</v>
      </c>
      <c r="AF909" t="s">
        <v>74</v>
      </c>
      <c r="AG909">
        <v>59</v>
      </c>
      <c r="AH909">
        <v>124</v>
      </c>
      <c r="AI909">
        <v>170</v>
      </c>
      <c r="AJ909">
        <v>1</v>
      </c>
      <c r="AK909">
        <v>41</v>
      </c>
      <c r="AL909" t="s">
        <v>1037</v>
      </c>
      <c r="AM909" t="s">
        <v>1038</v>
      </c>
      <c r="AN909" t="s">
        <v>1039</v>
      </c>
      <c r="AO909" t="s">
        <v>7867</v>
      </c>
      <c r="AP909" t="s">
        <v>74</v>
      </c>
      <c r="AQ909" t="s">
        <v>74</v>
      </c>
      <c r="AR909" t="s">
        <v>7868</v>
      </c>
      <c r="AS909" t="s">
        <v>7869</v>
      </c>
      <c r="AT909" t="s">
        <v>11304</v>
      </c>
      <c r="AU909">
        <v>1998</v>
      </c>
      <c r="AV909">
        <v>139</v>
      </c>
      <c r="AW909" t="s">
        <v>1282</v>
      </c>
      <c r="AX909" t="s">
        <v>74</v>
      </c>
      <c r="AY909" t="s">
        <v>74</v>
      </c>
      <c r="AZ909" t="s">
        <v>74</v>
      </c>
      <c r="BA909" t="s">
        <v>74</v>
      </c>
      <c r="BB909">
        <v>213</v>
      </c>
      <c r="BC909">
        <v>231</v>
      </c>
      <c r="BD909" t="s">
        <v>74</v>
      </c>
      <c r="BE909" t="s">
        <v>12003</v>
      </c>
      <c r="BF909" t="str">
        <f>HYPERLINK("http://dx.doi.org/10.1016/S0031-0182(97)00138-7","http://dx.doi.org/10.1016/S0031-0182(97)00138-7")</f>
        <v>http://dx.doi.org/10.1016/S0031-0182(97)00138-7</v>
      </c>
      <c r="BG909" t="s">
        <v>74</v>
      </c>
      <c r="BH909" t="s">
        <v>74</v>
      </c>
      <c r="BI909">
        <v>19</v>
      </c>
      <c r="BJ909" t="s">
        <v>7871</v>
      </c>
      <c r="BK909" t="s">
        <v>95</v>
      </c>
      <c r="BL909" t="s">
        <v>7872</v>
      </c>
      <c r="BM909" t="s">
        <v>11994</v>
      </c>
      <c r="BN909" t="s">
        <v>74</v>
      </c>
      <c r="BO909" t="s">
        <v>74</v>
      </c>
      <c r="BP909" t="s">
        <v>74</v>
      </c>
      <c r="BQ909" t="s">
        <v>74</v>
      </c>
      <c r="BR909" t="s">
        <v>98</v>
      </c>
      <c r="BS909" t="s">
        <v>12004</v>
      </c>
      <c r="BT909" t="str">
        <f>HYPERLINK("https%3A%2F%2Fwww.webofscience.com%2Fwos%2Fwoscc%2Ffull-record%2FWOS:000073633900006","View Full Record in Web of Science")</f>
        <v>View Full Record in Web of Science</v>
      </c>
    </row>
    <row r="910" spans="1:72" x14ac:dyDescent="0.15">
      <c r="A910" t="s">
        <v>72</v>
      </c>
      <c r="B910" t="s">
        <v>12005</v>
      </c>
      <c r="C910" t="s">
        <v>74</v>
      </c>
      <c r="D910" t="s">
        <v>74</v>
      </c>
      <c r="E910" t="s">
        <v>74</v>
      </c>
      <c r="F910" t="s">
        <v>12005</v>
      </c>
      <c r="G910" t="s">
        <v>74</v>
      </c>
      <c r="H910" t="s">
        <v>74</v>
      </c>
      <c r="I910" t="s">
        <v>12006</v>
      </c>
      <c r="J910" t="s">
        <v>2603</v>
      </c>
      <c r="K910" t="s">
        <v>74</v>
      </c>
      <c r="L910" t="s">
        <v>74</v>
      </c>
      <c r="M910" t="s">
        <v>77</v>
      </c>
      <c r="N910" t="s">
        <v>103</v>
      </c>
      <c r="O910" t="s">
        <v>74</v>
      </c>
      <c r="P910" t="s">
        <v>74</v>
      </c>
      <c r="Q910" t="s">
        <v>74</v>
      </c>
      <c r="R910" t="s">
        <v>74</v>
      </c>
      <c r="S910" t="s">
        <v>74</v>
      </c>
      <c r="T910" t="s">
        <v>74</v>
      </c>
      <c r="U910" t="s">
        <v>12007</v>
      </c>
      <c r="V910" t="s">
        <v>12008</v>
      </c>
      <c r="W910" t="s">
        <v>12009</v>
      </c>
      <c r="X910" t="s">
        <v>12010</v>
      </c>
      <c r="Y910" t="s">
        <v>12011</v>
      </c>
      <c r="Z910" t="s">
        <v>74</v>
      </c>
      <c r="AA910" t="s">
        <v>74</v>
      </c>
      <c r="AB910" t="s">
        <v>12012</v>
      </c>
      <c r="AC910" t="s">
        <v>74</v>
      </c>
      <c r="AD910" t="s">
        <v>74</v>
      </c>
      <c r="AE910" t="s">
        <v>74</v>
      </c>
      <c r="AF910" t="s">
        <v>74</v>
      </c>
      <c r="AG910">
        <v>55</v>
      </c>
      <c r="AH910">
        <v>22</v>
      </c>
      <c r="AI910">
        <v>23</v>
      </c>
      <c r="AJ910">
        <v>1</v>
      </c>
      <c r="AK910">
        <v>10</v>
      </c>
      <c r="AL910" t="s">
        <v>887</v>
      </c>
      <c r="AM910" t="s">
        <v>278</v>
      </c>
      <c r="AN910" t="s">
        <v>888</v>
      </c>
      <c r="AO910" t="s">
        <v>2610</v>
      </c>
      <c r="AP910" t="s">
        <v>74</v>
      </c>
      <c r="AQ910" t="s">
        <v>74</v>
      </c>
      <c r="AR910" t="s">
        <v>2612</v>
      </c>
      <c r="AS910" t="s">
        <v>2613</v>
      </c>
      <c r="AT910" t="s">
        <v>11304</v>
      </c>
      <c r="AU910">
        <v>1998</v>
      </c>
      <c r="AV910">
        <v>19</v>
      </c>
      <c r="AW910">
        <v>5</v>
      </c>
      <c r="AX910" t="s">
        <v>74</v>
      </c>
      <c r="AY910" t="s">
        <v>74</v>
      </c>
      <c r="AZ910" t="s">
        <v>74</v>
      </c>
      <c r="BA910" t="s">
        <v>74</v>
      </c>
      <c r="BB910">
        <v>307</v>
      </c>
      <c r="BC910">
        <v>315</v>
      </c>
      <c r="BD910" t="s">
        <v>74</v>
      </c>
      <c r="BE910" t="s">
        <v>12013</v>
      </c>
      <c r="BF910" t="str">
        <f>HYPERLINK("http://dx.doi.org/10.1007/s003000050251","http://dx.doi.org/10.1007/s003000050251")</f>
        <v>http://dx.doi.org/10.1007/s003000050251</v>
      </c>
      <c r="BG910" t="s">
        <v>74</v>
      </c>
      <c r="BH910" t="s">
        <v>74</v>
      </c>
      <c r="BI910">
        <v>9</v>
      </c>
      <c r="BJ910" t="s">
        <v>2615</v>
      </c>
      <c r="BK910" t="s">
        <v>95</v>
      </c>
      <c r="BL910" t="s">
        <v>2616</v>
      </c>
      <c r="BM910" t="s">
        <v>12014</v>
      </c>
      <c r="BN910" t="s">
        <v>74</v>
      </c>
      <c r="BO910" t="s">
        <v>74</v>
      </c>
      <c r="BP910" t="s">
        <v>74</v>
      </c>
      <c r="BQ910" t="s">
        <v>74</v>
      </c>
      <c r="BR910" t="s">
        <v>98</v>
      </c>
      <c r="BS910" t="s">
        <v>12015</v>
      </c>
      <c r="BT910" t="str">
        <f>HYPERLINK("https%3A%2F%2Fwww.webofscience.com%2Fwos%2Fwoscc%2Ffull-record%2FWOS:000073551700003","View Full Record in Web of Science")</f>
        <v>View Full Record in Web of Science</v>
      </c>
    </row>
    <row r="911" spans="1:72" x14ac:dyDescent="0.15">
      <c r="A911" t="s">
        <v>72</v>
      </c>
      <c r="B911" t="s">
        <v>12016</v>
      </c>
      <c r="C911" t="s">
        <v>74</v>
      </c>
      <c r="D911" t="s">
        <v>74</v>
      </c>
      <c r="E911" t="s">
        <v>74</v>
      </c>
      <c r="F911" t="s">
        <v>12016</v>
      </c>
      <c r="G911" t="s">
        <v>74</v>
      </c>
      <c r="H911" t="s">
        <v>74</v>
      </c>
      <c r="I911" t="s">
        <v>12017</v>
      </c>
      <c r="J911" t="s">
        <v>2603</v>
      </c>
      <c r="K911" t="s">
        <v>74</v>
      </c>
      <c r="L911" t="s">
        <v>74</v>
      </c>
      <c r="M911" t="s">
        <v>77</v>
      </c>
      <c r="N911" t="s">
        <v>103</v>
      </c>
      <c r="O911" t="s">
        <v>74</v>
      </c>
      <c r="P911" t="s">
        <v>74</v>
      </c>
      <c r="Q911" t="s">
        <v>74</v>
      </c>
      <c r="R911" t="s">
        <v>74</v>
      </c>
      <c r="S911" t="s">
        <v>74</v>
      </c>
      <c r="T911" t="s">
        <v>74</v>
      </c>
      <c r="U911" t="s">
        <v>12018</v>
      </c>
      <c r="V911" t="s">
        <v>12019</v>
      </c>
      <c r="W911" t="s">
        <v>12020</v>
      </c>
      <c r="X911" t="s">
        <v>12021</v>
      </c>
      <c r="Y911" t="s">
        <v>12022</v>
      </c>
      <c r="Z911" t="s">
        <v>12023</v>
      </c>
      <c r="AA911" t="s">
        <v>12024</v>
      </c>
      <c r="AB911" t="s">
        <v>12025</v>
      </c>
      <c r="AC911" t="s">
        <v>74</v>
      </c>
      <c r="AD911" t="s">
        <v>74</v>
      </c>
      <c r="AE911" t="s">
        <v>74</v>
      </c>
      <c r="AF911" t="s">
        <v>74</v>
      </c>
      <c r="AG911">
        <v>33</v>
      </c>
      <c r="AH911">
        <v>59</v>
      </c>
      <c r="AI911">
        <v>65</v>
      </c>
      <c r="AJ911">
        <v>1</v>
      </c>
      <c r="AK911">
        <v>21</v>
      </c>
      <c r="AL911" t="s">
        <v>887</v>
      </c>
      <c r="AM911" t="s">
        <v>278</v>
      </c>
      <c r="AN911" t="s">
        <v>888</v>
      </c>
      <c r="AO911" t="s">
        <v>2610</v>
      </c>
      <c r="AP911" t="s">
        <v>74</v>
      </c>
      <c r="AQ911" t="s">
        <v>74</v>
      </c>
      <c r="AR911" t="s">
        <v>2612</v>
      </c>
      <c r="AS911" t="s">
        <v>2613</v>
      </c>
      <c r="AT911" t="s">
        <v>11304</v>
      </c>
      <c r="AU911">
        <v>1998</v>
      </c>
      <c r="AV911">
        <v>19</v>
      </c>
      <c r="AW911">
        <v>5</v>
      </c>
      <c r="AX911" t="s">
        <v>74</v>
      </c>
      <c r="AY911" t="s">
        <v>74</v>
      </c>
      <c r="AZ911" t="s">
        <v>74</v>
      </c>
      <c r="BA911" t="s">
        <v>74</v>
      </c>
      <c r="BB911">
        <v>316</v>
      </c>
      <c r="BC911">
        <v>322</v>
      </c>
      <c r="BD911" t="s">
        <v>74</v>
      </c>
      <c r="BE911" t="s">
        <v>12026</v>
      </c>
      <c r="BF911" t="str">
        <f>HYPERLINK("http://dx.doi.org/10.1007/s003000050252","http://dx.doi.org/10.1007/s003000050252")</f>
        <v>http://dx.doi.org/10.1007/s003000050252</v>
      </c>
      <c r="BG911" t="s">
        <v>74</v>
      </c>
      <c r="BH911" t="s">
        <v>74</v>
      </c>
      <c r="BI911">
        <v>7</v>
      </c>
      <c r="BJ911" t="s">
        <v>2615</v>
      </c>
      <c r="BK911" t="s">
        <v>95</v>
      </c>
      <c r="BL911" t="s">
        <v>2616</v>
      </c>
      <c r="BM911" t="s">
        <v>12014</v>
      </c>
      <c r="BN911" t="s">
        <v>74</v>
      </c>
      <c r="BO911" t="s">
        <v>74</v>
      </c>
      <c r="BP911" t="s">
        <v>74</v>
      </c>
      <c r="BQ911" t="s">
        <v>74</v>
      </c>
      <c r="BR911" t="s">
        <v>98</v>
      </c>
      <c r="BS911" t="s">
        <v>12027</v>
      </c>
      <c r="BT911" t="str">
        <f>HYPERLINK("https%3A%2F%2Fwww.webofscience.com%2Fwos%2Fwoscc%2Ffull-record%2FWOS:000073551700004","View Full Record in Web of Science")</f>
        <v>View Full Record in Web of Science</v>
      </c>
    </row>
    <row r="912" spans="1:72" x14ac:dyDescent="0.15">
      <c r="A912" t="s">
        <v>72</v>
      </c>
      <c r="B912" t="s">
        <v>12028</v>
      </c>
      <c r="C912" t="s">
        <v>74</v>
      </c>
      <c r="D912" t="s">
        <v>74</v>
      </c>
      <c r="E912" t="s">
        <v>74</v>
      </c>
      <c r="F912" t="s">
        <v>12028</v>
      </c>
      <c r="G912" t="s">
        <v>74</v>
      </c>
      <c r="H912" t="s">
        <v>74</v>
      </c>
      <c r="I912" t="s">
        <v>12029</v>
      </c>
      <c r="J912" t="s">
        <v>2603</v>
      </c>
      <c r="K912" t="s">
        <v>74</v>
      </c>
      <c r="L912" t="s">
        <v>74</v>
      </c>
      <c r="M912" t="s">
        <v>77</v>
      </c>
      <c r="N912" t="s">
        <v>103</v>
      </c>
      <c r="O912" t="s">
        <v>74</v>
      </c>
      <c r="P912" t="s">
        <v>74</v>
      </c>
      <c r="Q912" t="s">
        <v>74</v>
      </c>
      <c r="R912" t="s">
        <v>74</v>
      </c>
      <c r="S912" t="s">
        <v>74</v>
      </c>
      <c r="T912" t="s">
        <v>74</v>
      </c>
      <c r="U912" t="s">
        <v>12030</v>
      </c>
      <c r="V912" t="s">
        <v>12031</v>
      </c>
      <c r="W912" t="s">
        <v>12032</v>
      </c>
      <c r="X912" t="s">
        <v>9815</v>
      </c>
      <c r="Y912" t="s">
        <v>12033</v>
      </c>
      <c r="Z912" t="s">
        <v>12034</v>
      </c>
      <c r="AA912" t="s">
        <v>74</v>
      </c>
      <c r="AB912" t="s">
        <v>74</v>
      </c>
      <c r="AC912" t="s">
        <v>74</v>
      </c>
      <c r="AD912" t="s">
        <v>74</v>
      </c>
      <c r="AE912" t="s">
        <v>74</v>
      </c>
      <c r="AF912" t="s">
        <v>74</v>
      </c>
      <c r="AG912">
        <v>21</v>
      </c>
      <c r="AH912">
        <v>6</v>
      </c>
      <c r="AI912">
        <v>6</v>
      </c>
      <c r="AJ912">
        <v>0</v>
      </c>
      <c r="AK912">
        <v>3</v>
      </c>
      <c r="AL912" t="s">
        <v>805</v>
      </c>
      <c r="AM912" t="s">
        <v>278</v>
      </c>
      <c r="AN912" t="s">
        <v>806</v>
      </c>
      <c r="AO912" t="s">
        <v>2610</v>
      </c>
      <c r="AP912" t="s">
        <v>2611</v>
      </c>
      <c r="AQ912" t="s">
        <v>74</v>
      </c>
      <c r="AR912" t="s">
        <v>2612</v>
      </c>
      <c r="AS912" t="s">
        <v>2613</v>
      </c>
      <c r="AT912" t="s">
        <v>11304</v>
      </c>
      <c r="AU912">
        <v>1998</v>
      </c>
      <c r="AV912">
        <v>19</v>
      </c>
      <c r="AW912">
        <v>5</v>
      </c>
      <c r="AX912" t="s">
        <v>74</v>
      </c>
      <c r="AY912" t="s">
        <v>74</v>
      </c>
      <c r="AZ912" t="s">
        <v>74</v>
      </c>
      <c r="BA912" t="s">
        <v>74</v>
      </c>
      <c r="BB912">
        <v>336</v>
      </c>
      <c r="BC912">
        <v>341</v>
      </c>
      <c r="BD912" t="s">
        <v>74</v>
      </c>
      <c r="BE912" t="s">
        <v>12035</v>
      </c>
      <c r="BF912" t="str">
        <f>HYPERLINK("http://dx.doi.org/10.1007/s003000050255","http://dx.doi.org/10.1007/s003000050255")</f>
        <v>http://dx.doi.org/10.1007/s003000050255</v>
      </c>
      <c r="BG912" t="s">
        <v>74</v>
      </c>
      <c r="BH912" t="s">
        <v>74</v>
      </c>
      <c r="BI912">
        <v>6</v>
      </c>
      <c r="BJ912" t="s">
        <v>2615</v>
      </c>
      <c r="BK912" t="s">
        <v>95</v>
      </c>
      <c r="BL912" t="s">
        <v>2616</v>
      </c>
      <c r="BM912" t="s">
        <v>12014</v>
      </c>
      <c r="BN912" t="s">
        <v>74</v>
      </c>
      <c r="BO912" t="s">
        <v>74</v>
      </c>
      <c r="BP912" t="s">
        <v>74</v>
      </c>
      <c r="BQ912" t="s">
        <v>74</v>
      </c>
      <c r="BR912" t="s">
        <v>98</v>
      </c>
      <c r="BS912" t="s">
        <v>12036</v>
      </c>
      <c r="BT912" t="str">
        <f>HYPERLINK("https%3A%2F%2Fwww.webofscience.com%2Fwos%2Fwoscc%2Ffull-record%2FWOS:000073551700007","View Full Record in Web of Science")</f>
        <v>View Full Record in Web of Science</v>
      </c>
    </row>
    <row r="913" spans="1:72" x14ac:dyDescent="0.15">
      <c r="A913" t="s">
        <v>72</v>
      </c>
      <c r="B913" t="s">
        <v>12037</v>
      </c>
      <c r="C913" t="s">
        <v>74</v>
      </c>
      <c r="D913" t="s">
        <v>74</v>
      </c>
      <c r="E913" t="s">
        <v>74</v>
      </c>
      <c r="F913" t="s">
        <v>12037</v>
      </c>
      <c r="G913" t="s">
        <v>74</v>
      </c>
      <c r="H913" t="s">
        <v>74</v>
      </c>
      <c r="I913" t="s">
        <v>12038</v>
      </c>
      <c r="J913" t="s">
        <v>2603</v>
      </c>
      <c r="K913" t="s">
        <v>74</v>
      </c>
      <c r="L913" t="s">
        <v>74</v>
      </c>
      <c r="M913" t="s">
        <v>77</v>
      </c>
      <c r="N913" t="s">
        <v>103</v>
      </c>
      <c r="O913" t="s">
        <v>74</v>
      </c>
      <c r="P913" t="s">
        <v>74</v>
      </c>
      <c r="Q913" t="s">
        <v>74</v>
      </c>
      <c r="R913" t="s">
        <v>74</v>
      </c>
      <c r="S913" t="s">
        <v>74</v>
      </c>
      <c r="T913" t="s">
        <v>74</v>
      </c>
      <c r="U913" t="s">
        <v>12039</v>
      </c>
      <c r="V913" t="s">
        <v>12040</v>
      </c>
      <c r="W913" t="s">
        <v>8594</v>
      </c>
      <c r="X913" t="s">
        <v>5702</v>
      </c>
      <c r="Y913" t="s">
        <v>12041</v>
      </c>
      <c r="Z913" t="s">
        <v>74</v>
      </c>
      <c r="AA913" t="s">
        <v>74</v>
      </c>
      <c r="AB913" t="s">
        <v>74</v>
      </c>
      <c r="AC913" t="s">
        <v>74</v>
      </c>
      <c r="AD913" t="s">
        <v>74</v>
      </c>
      <c r="AE913" t="s">
        <v>74</v>
      </c>
      <c r="AF913" t="s">
        <v>74</v>
      </c>
      <c r="AG913">
        <v>39</v>
      </c>
      <c r="AH913">
        <v>20</v>
      </c>
      <c r="AI913">
        <v>20</v>
      </c>
      <c r="AJ913">
        <v>3</v>
      </c>
      <c r="AK913">
        <v>7</v>
      </c>
      <c r="AL913" t="s">
        <v>887</v>
      </c>
      <c r="AM913" t="s">
        <v>278</v>
      </c>
      <c r="AN913" t="s">
        <v>888</v>
      </c>
      <c r="AO913" t="s">
        <v>2610</v>
      </c>
      <c r="AP913" t="s">
        <v>74</v>
      </c>
      <c r="AQ913" t="s">
        <v>74</v>
      </c>
      <c r="AR913" t="s">
        <v>2612</v>
      </c>
      <c r="AS913" t="s">
        <v>2613</v>
      </c>
      <c r="AT913" t="s">
        <v>11304</v>
      </c>
      <c r="AU913">
        <v>1998</v>
      </c>
      <c r="AV913">
        <v>19</v>
      </c>
      <c r="AW913">
        <v>5</v>
      </c>
      <c r="AX913" t="s">
        <v>74</v>
      </c>
      <c r="AY913" t="s">
        <v>74</v>
      </c>
      <c r="AZ913" t="s">
        <v>74</v>
      </c>
      <c r="BA913" t="s">
        <v>74</v>
      </c>
      <c r="BB913">
        <v>348</v>
      </c>
      <c r="BC913">
        <v>353</v>
      </c>
      <c r="BD913" t="s">
        <v>74</v>
      </c>
      <c r="BE913" t="s">
        <v>12042</v>
      </c>
      <c r="BF913" t="str">
        <f>HYPERLINK("http://dx.doi.org/10.1007/s003000050257","http://dx.doi.org/10.1007/s003000050257")</f>
        <v>http://dx.doi.org/10.1007/s003000050257</v>
      </c>
      <c r="BG913" t="s">
        <v>74</v>
      </c>
      <c r="BH913" t="s">
        <v>74</v>
      </c>
      <c r="BI913">
        <v>6</v>
      </c>
      <c r="BJ913" t="s">
        <v>2615</v>
      </c>
      <c r="BK913" t="s">
        <v>95</v>
      </c>
      <c r="BL913" t="s">
        <v>2616</v>
      </c>
      <c r="BM913" t="s">
        <v>12014</v>
      </c>
      <c r="BN913" t="s">
        <v>74</v>
      </c>
      <c r="BO913" t="s">
        <v>74</v>
      </c>
      <c r="BP913" t="s">
        <v>74</v>
      </c>
      <c r="BQ913" t="s">
        <v>74</v>
      </c>
      <c r="BR913" t="s">
        <v>98</v>
      </c>
      <c r="BS913" t="s">
        <v>12043</v>
      </c>
      <c r="BT913" t="str">
        <f>HYPERLINK("https%3A%2F%2Fwww.webofscience.com%2Fwos%2Fwoscc%2Ffull-record%2FWOS:000073551700009","View Full Record in Web of Science")</f>
        <v>View Full Record in Web of Science</v>
      </c>
    </row>
    <row r="914" spans="1:72" x14ac:dyDescent="0.15">
      <c r="A914" t="s">
        <v>72</v>
      </c>
      <c r="B914" t="s">
        <v>12044</v>
      </c>
      <c r="C914" t="s">
        <v>74</v>
      </c>
      <c r="D914" t="s">
        <v>74</v>
      </c>
      <c r="E914" t="s">
        <v>74</v>
      </c>
      <c r="F914" t="s">
        <v>12044</v>
      </c>
      <c r="G914" t="s">
        <v>74</v>
      </c>
      <c r="H914" t="s">
        <v>74</v>
      </c>
      <c r="I914" t="s">
        <v>12045</v>
      </c>
      <c r="J914" t="s">
        <v>3749</v>
      </c>
      <c r="K914" t="s">
        <v>74</v>
      </c>
      <c r="L914" t="s">
        <v>74</v>
      </c>
      <c r="M914" t="s">
        <v>77</v>
      </c>
      <c r="N914" t="s">
        <v>103</v>
      </c>
      <c r="O914" t="s">
        <v>74</v>
      </c>
      <c r="P914" t="s">
        <v>74</v>
      </c>
      <c r="Q914" t="s">
        <v>74</v>
      </c>
      <c r="R914" t="s">
        <v>74</v>
      </c>
      <c r="S914" t="s">
        <v>74</v>
      </c>
      <c r="T914" t="s">
        <v>74</v>
      </c>
      <c r="U914" t="s">
        <v>12046</v>
      </c>
      <c r="V914" t="s">
        <v>12047</v>
      </c>
      <c r="W914" t="s">
        <v>12048</v>
      </c>
      <c r="X914" t="s">
        <v>6077</v>
      </c>
      <c r="Y914" t="s">
        <v>3159</v>
      </c>
      <c r="Z914" t="s">
        <v>12049</v>
      </c>
      <c r="AA914" t="s">
        <v>74</v>
      </c>
      <c r="AB914" t="s">
        <v>74</v>
      </c>
      <c r="AC914" t="s">
        <v>74</v>
      </c>
      <c r="AD914" t="s">
        <v>74</v>
      </c>
      <c r="AE914" t="s">
        <v>74</v>
      </c>
      <c r="AF914" t="s">
        <v>74</v>
      </c>
      <c r="AG914">
        <v>41</v>
      </c>
      <c r="AH914">
        <v>34</v>
      </c>
      <c r="AI914">
        <v>40</v>
      </c>
      <c r="AJ914">
        <v>0</v>
      </c>
      <c r="AK914">
        <v>6</v>
      </c>
      <c r="AL914" t="s">
        <v>3756</v>
      </c>
      <c r="AM914" t="s">
        <v>967</v>
      </c>
      <c r="AN914" t="s">
        <v>3757</v>
      </c>
      <c r="AO914" t="s">
        <v>3758</v>
      </c>
      <c r="AP914" t="s">
        <v>8894</v>
      </c>
      <c r="AQ914" t="s">
        <v>74</v>
      </c>
      <c r="AR914" t="s">
        <v>3749</v>
      </c>
      <c r="AS914" t="s">
        <v>3759</v>
      </c>
      <c r="AT914" t="s">
        <v>11539</v>
      </c>
      <c r="AU914">
        <v>1998</v>
      </c>
      <c r="AV914">
        <v>280</v>
      </c>
      <c r="AW914">
        <v>5364</v>
      </c>
      <c r="AX914" t="s">
        <v>74</v>
      </c>
      <c r="AY914" t="s">
        <v>74</v>
      </c>
      <c r="AZ914" t="s">
        <v>74</v>
      </c>
      <c r="BA914" t="s">
        <v>74</v>
      </c>
      <c r="BB914">
        <v>728</v>
      </c>
      <c r="BC914">
        <v>730</v>
      </c>
      <c r="BD914" t="s">
        <v>74</v>
      </c>
      <c r="BE914" t="s">
        <v>12050</v>
      </c>
      <c r="BF914" t="str">
        <f>HYPERLINK("http://dx.doi.org/10.1126/science.280.5364.728","http://dx.doi.org/10.1126/science.280.5364.728")</f>
        <v>http://dx.doi.org/10.1126/science.280.5364.728</v>
      </c>
      <c r="BG914" t="s">
        <v>74</v>
      </c>
      <c r="BH914" t="s">
        <v>74</v>
      </c>
      <c r="BI914">
        <v>3</v>
      </c>
      <c r="BJ914" t="s">
        <v>3377</v>
      </c>
      <c r="BK914" t="s">
        <v>95</v>
      </c>
      <c r="BL914" t="s">
        <v>3378</v>
      </c>
      <c r="BM914" t="s">
        <v>12051</v>
      </c>
      <c r="BN914">
        <v>9563947</v>
      </c>
      <c r="BO914" t="s">
        <v>74</v>
      </c>
      <c r="BP914" t="s">
        <v>74</v>
      </c>
      <c r="BQ914" t="s">
        <v>74</v>
      </c>
      <c r="BR914" t="s">
        <v>98</v>
      </c>
      <c r="BS914" t="s">
        <v>12052</v>
      </c>
      <c r="BT914" t="str">
        <f>HYPERLINK("https%3A%2F%2Fwww.webofscience.com%2Fwos%2Fwoscc%2Ffull-record%2FWOS:000073415600045","View Full Record in Web of Science")</f>
        <v>View Full Record in Web of Science</v>
      </c>
    </row>
    <row r="915" spans="1:72" x14ac:dyDescent="0.15">
      <c r="A915" t="s">
        <v>72</v>
      </c>
      <c r="B915" t="s">
        <v>12053</v>
      </c>
      <c r="C915" t="s">
        <v>74</v>
      </c>
      <c r="D915" t="s">
        <v>74</v>
      </c>
      <c r="E915" t="s">
        <v>74</v>
      </c>
      <c r="F915" t="s">
        <v>12053</v>
      </c>
      <c r="G915" t="s">
        <v>74</v>
      </c>
      <c r="H915" t="s">
        <v>74</v>
      </c>
      <c r="I915" t="s">
        <v>12054</v>
      </c>
      <c r="J915" t="s">
        <v>3481</v>
      </c>
      <c r="K915" t="s">
        <v>74</v>
      </c>
      <c r="L915" t="s">
        <v>74</v>
      </c>
      <c r="M915" t="s">
        <v>77</v>
      </c>
      <c r="N915" t="s">
        <v>103</v>
      </c>
      <c r="O915" t="s">
        <v>74</v>
      </c>
      <c r="P915" t="s">
        <v>74</v>
      </c>
      <c r="Q915" t="s">
        <v>74</v>
      </c>
      <c r="R915" t="s">
        <v>74</v>
      </c>
      <c r="S915" t="s">
        <v>74</v>
      </c>
      <c r="T915" t="s">
        <v>74</v>
      </c>
      <c r="U915" t="s">
        <v>12055</v>
      </c>
      <c r="V915" t="s">
        <v>12056</v>
      </c>
      <c r="W915" t="s">
        <v>12057</v>
      </c>
      <c r="X915" t="s">
        <v>12058</v>
      </c>
      <c r="Y915" t="s">
        <v>12059</v>
      </c>
      <c r="Z915" t="s">
        <v>74</v>
      </c>
      <c r="AA915" t="s">
        <v>74</v>
      </c>
      <c r="AB915" t="s">
        <v>74</v>
      </c>
      <c r="AC915" t="s">
        <v>74</v>
      </c>
      <c r="AD915" t="s">
        <v>74</v>
      </c>
      <c r="AE915" t="s">
        <v>74</v>
      </c>
      <c r="AF915" t="s">
        <v>74</v>
      </c>
      <c r="AG915">
        <v>25</v>
      </c>
      <c r="AH915">
        <v>18</v>
      </c>
      <c r="AI915">
        <v>18</v>
      </c>
      <c r="AJ915">
        <v>0</v>
      </c>
      <c r="AK915">
        <v>0</v>
      </c>
      <c r="AL915" t="s">
        <v>1201</v>
      </c>
      <c r="AM915" t="s">
        <v>1202</v>
      </c>
      <c r="AN915" t="s">
        <v>1203</v>
      </c>
      <c r="AO915" t="s">
        <v>74</v>
      </c>
      <c r="AP915" t="s">
        <v>3491</v>
      </c>
      <c r="AQ915" t="s">
        <v>74</v>
      </c>
      <c r="AR915" t="s">
        <v>3492</v>
      </c>
      <c r="AS915" t="s">
        <v>3493</v>
      </c>
      <c r="AT915" t="s">
        <v>11304</v>
      </c>
      <c r="AU915">
        <v>1998</v>
      </c>
      <c r="AV915">
        <v>50</v>
      </c>
      <c r="AW915">
        <v>3</v>
      </c>
      <c r="AX915" t="s">
        <v>74</v>
      </c>
      <c r="AY915" t="s">
        <v>74</v>
      </c>
      <c r="AZ915" t="s">
        <v>74</v>
      </c>
      <c r="BA915" t="s">
        <v>74</v>
      </c>
      <c r="BB915">
        <v>302</v>
      </c>
      <c r="BC915">
        <v>312</v>
      </c>
      <c r="BD915" t="s">
        <v>74</v>
      </c>
      <c r="BE915" t="s">
        <v>12060</v>
      </c>
      <c r="BF915" t="str">
        <f>HYPERLINK("http://dx.doi.org/10.1034/j.1600-0870.1998.t01-2-00004.x","http://dx.doi.org/10.1034/j.1600-0870.1998.t01-2-00004.x")</f>
        <v>http://dx.doi.org/10.1034/j.1600-0870.1998.t01-2-00004.x</v>
      </c>
      <c r="BG915" t="s">
        <v>74</v>
      </c>
      <c r="BH915" t="s">
        <v>74</v>
      </c>
      <c r="BI915">
        <v>11</v>
      </c>
      <c r="BJ915" t="s">
        <v>3494</v>
      </c>
      <c r="BK915" t="s">
        <v>95</v>
      </c>
      <c r="BL915" t="s">
        <v>3494</v>
      </c>
      <c r="BM915" t="s">
        <v>12061</v>
      </c>
      <c r="BN915" t="s">
        <v>74</v>
      </c>
      <c r="BO915" t="s">
        <v>74</v>
      </c>
      <c r="BP915" t="s">
        <v>74</v>
      </c>
      <c r="BQ915" t="s">
        <v>74</v>
      </c>
      <c r="BR915" t="s">
        <v>98</v>
      </c>
      <c r="BS915" t="s">
        <v>12062</v>
      </c>
      <c r="BT915" t="str">
        <f>HYPERLINK("https%3A%2F%2Fwww.webofscience.com%2Fwos%2Fwoscc%2Ffull-record%2FWOS:000074056200004","View Full Record in Web of Science")</f>
        <v>View Full Record in Web of Science</v>
      </c>
    </row>
    <row r="916" spans="1:72" x14ac:dyDescent="0.15">
      <c r="A916" t="s">
        <v>72</v>
      </c>
      <c r="B916" t="s">
        <v>12063</v>
      </c>
      <c r="C916" t="s">
        <v>74</v>
      </c>
      <c r="D916" t="s">
        <v>74</v>
      </c>
      <c r="E916" t="s">
        <v>74</v>
      </c>
      <c r="F916" t="s">
        <v>12063</v>
      </c>
      <c r="G916" t="s">
        <v>74</v>
      </c>
      <c r="H916" t="s">
        <v>74</v>
      </c>
      <c r="I916" t="s">
        <v>12064</v>
      </c>
      <c r="J916" t="s">
        <v>4802</v>
      </c>
      <c r="K916" t="s">
        <v>74</v>
      </c>
      <c r="L916" t="s">
        <v>74</v>
      </c>
      <c r="M916" t="s">
        <v>77</v>
      </c>
      <c r="N916" t="s">
        <v>103</v>
      </c>
      <c r="O916" t="s">
        <v>74</v>
      </c>
      <c r="P916" t="s">
        <v>74</v>
      </c>
      <c r="Q916" t="s">
        <v>74</v>
      </c>
      <c r="R916" t="s">
        <v>74</v>
      </c>
      <c r="S916" t="s">
        <v>74</v>
      </c>
      <c r="T916" t="s">
        <v>74</v>
      </c>
      <c r="U916" t="s">
        <v>12065</v>
      </c>
      <c r="V916" t="s">
        <v>12066</v>
      </c>
      <c r="W916" t="s">
        <v>12067</v>
      </c>
      <c r="X916" t="s">
        <v>12068</v>
      </c>
      <c r="Y916" t="s">
        <v>12069</v>
      </c>
      <c r="Z916" t="s">
        <v>12070</v>
      </c>
      <c r="AA916" t="s">
        <v>74</v>
      </c>
      <c r="AB916" t="s">
        <v>74</v>
      </c>
      <c r="AC916" t="s">
        <v>74</v>
      </c>
      <c r="AD916" t="s">
        <v>74</v>
      </c>
      <c r="AE916" t="s">
        <v>74</v>
      </c>
      <c r="AF916" t="s">
        <v>74</v>
      </c>
      <c r="AG916">
        <v>11</v>
      </c>
      <c r="AH916">
        <v>40</v>
      </c>
      <c r="AI916">
        <v>42</v>
      </c>
      <c r="AJ916">
        <v>0</v>
      </c>
      <c r="AK916">
        <v>2</v>
      </c>
      <c r="AL916" t="s">
        <v>966</v>
      </c>
      <c r="AM916" t="s">
        <v>967</v>
      </c>
      <c r="AN916" t="s">
        <v>968</v>
      </c>
      <c r="AO916" t="s">
        <v>4811</v>
      </c>
      <c r="AP916" t="s">
        <v>74</v>
      </c>
      <c r="AQ916" t="s">
        <v>74</v>
      </c>
      <c r="AR916" t="s">
        <v>4813</v>
      </c>
      <c r="AS916" t="s">
        <v>4814</v>
      </c>
      <c r="AT916" t="s">
        <v>12071</v>
      </c>
      <c r="AU916">
        <v>1998</v>
      </c>
      <c r="AV916">
        <v>103</v>
      </c>
      <c r="AW916" t="s">
        <v>12072</v>
      </c>
      <c r="AX916" t="s">
        <v>74</v>
      </c>
      <c r="AY916" t="s">
        <v>74</v>
      </c>
      <c r="AZ916" t="s">
        <v>74</v>
      </c>
      <c r="BA916" t="s">
        <v>74</v>
      </c>
      <c r="BB916">
        <v>8849</v>
      </c>
      <c r="BC916">
        <v>8857</v>
      </c>
      <c r="BD916" t="s">
        <v>74</v>
      </c>
      <c r="BE916" t="s">
        <v>12073</v>
      </c>
      <c r="BF916" t="str">
        <f>HYPERLINK("http://dx.doi.org/10.1029/97JD03604","http://dx.doi.org/10.1029/97JD03604")</f>
        <v>http://dx.doi.org/10.1029/97JD03604</v>
      </c>
      <c r="BG916" t="s">
        <v>74</v>
      </c>
      <c r="BH916" t="s">
        <v>74</v>
      </c>
      <c r="BI916">
        <v>9</v>
      </c>
      <c r="BJ916" t="s">
        <v>1418</v>
      </c>
      <c r="BK916" t="s">
        <v>95</v>
      </c>
      <c r="BL916" t="s">
        <v>1418</v>
      </c>
      <c r="BM916" t="s">
        <v>12074</v>
      </c>
      <c r="BN916" t="s">
        <v>74</v>
      </c>
      <c r="BO916" t="s">
        <v>74</v>
      </c>
      <c r="BP916" t="s">
        <v>74</v>
      </c>
      <c r="BQ916" t="s">
        <v>74</v>
      </c>
      <c r="BR916" t="s">
        <v>98</v>
      </c>
      <c r="BS916" t="s">
        <v>12075</v>
      </c>
      <c r="BT916" t="str">
        <f>HYPERLINK("https%3A%2F%2Fwww.webofscience.com%2Fwos%2Fwoscc%2Ffull-record%2FWOS:000073290900019","View Full Record in Web of Science")</f>
        <v>View Full Record in Web of Science</v>
      </c>
    </row>
    <row r="917" spans="1:72" x14ac:dyDescent="0.15">
      <c r="A917" t="s">
        <v>72</v>
      </c>
      <c r="B917" t="s">
        <v>12076</v>
      </c>
      <c r="C917" t="s">
        <v>74</v>
      </c>
      <c r="D917" t="s">
        <v>74</v>
      </c>
      <c r="E917" t="s">
        <v>74</v>
      </c>
      <c r="F917" t="s">
        <v>12076</v>
      </c>
      <c r="G917" t="s">
        <v>74</v>
      </c>
      <c r="H917" t="s">
        <v>74</v>
      </c>
      <c r="I917" t="s">
        <v>12077</v>
      </c>
      <c r="J917" t="s">
        <v>4802</v>
      </c>
      <c r="K917" t="s">
        <v>74</v>
      </c>
      <c r="L917" t="s">
        <v>74</v>
      </c>
      <c r="M917" t="s">
        <v>77</v>
      </c>
      <c r="N917" t="s">
        <v>103</v>
      </c>
      <c r="O917" t="s">
        <v>74</v>
      </c>
      <c r="P917" t="s">
        <v>74</v>
      </c>
      <c r="Q917" t="s">
        <v>74</v>
      </c>
      <c r="R917" t="s">
        <v>74</v>
      </c>
      <c r="S917" t="s">
        <v>74</v>
      </c>
      <c r="T917" t="s">
        <v>74</v>
      </c>
      <c r="U917" t="s">
        <v>12078</v>
      </c>
      <c r="V917" t="s">
        <v>12079</v>
      </c>
      <c r="W917" t="s">
        <v>12080</v>
      </c>
      <c r="X917" t="s">
        <v>12081</v>
      </c>
      <c r="Y917" t="s">
        <v>12082</v>
      </c>
      <c r="Z917" t="s">
        <v>12083</v>
      </c>
      <c r="AA917" t="s">
        <v>12084</v>
      </c>
      <c r="AB917" t="s">
        <v>12085</v>
      </c>
      <c r="AC917" t="s">
        <v>74</v>
      </c>
      <c r="AD917" t="s">
        <v>74</v>
      </c>
      <c r="AE917" t="s">
        <v>74</v>
      </c>
      <c r="AF917" t="s">
        <v>74</v>
      </c>
      <c r="AG917">
        <v>36</v>
      </c>
      <c r="AH917">
        <v>48</v>
      </c>
      <c r="AI917">
        <v>53</v>
      </c>
      <c r="AJ917">
        <v>0</v>
      </c>
      <c r="AK917">
        <v>6</v>
      </c>
      <c r="AL917" t="s">
        <v>966</v>
      </c>
      <c r="AM917" t="s">
        <v>967</v>
      </c>
      <c r="AN917" t="s">
        <v>968</v>
      </c>
      <c r="AO917" t="s">
        <v>4811</v>
      </c>
      <c r="AP917" t="s">
        <v>4812</v>
      </c>
      <c r="AQ917" t="s">
        <v>74</v>
      </c>
      <c r="AR917" t="s">
        <v>4813</v>
      </c>
      <c r="AS917" t="s">
        <v>4814</v>
      </c>
      <c r="AT917" t="s">
        <v>12071</v>
      </c>
      <c r="AU917">
        <v>1998</v>
      </c>
      <c r="AV917">
        <v>103</v>
      </c>
      <c r="AW917" t="s">
        <v>12072</v>
      </c>
      <c r="AX917" t="s">
        <v>74</v>
      </c>
      <c r="AY917" t="s">
        <v>74</v>
      </c>
      <c r="AZ917" t="s">
        <v>74</v>
      </c>
      <c r="BA917" t="s">
        <v>74</v>
      </c>
      <c r="BB917">
        <v>8947</v>
      </c>
      <c r="BC917">
        <v>8953</v>
      </c>
      <c r="BD917" t="s">
        <v>74</v>
      </c>
      <c r="BE917" t="s">
        <v>12086</v>
      </c>
      <c r="BF917" t="str">
        <f>HYPERLINK("http://dx.doi.org/10.1029/98JD00274","http://dx.doi.org/10.1029/98JD00274")</f>
        <v>http://dx.doi.org/10.1029/98JD00274</v>
      </c>
      <c r="BG917" t="s">
        <v>74</v>
      </c>
      <c r="BH917" t="s">
        <v>74</v>
      </c>
      <c r="BI917">
        <v>7</v>
      </c>
      <c r="BJ917" t="s">
        <v>1418</v>
      </c>
      <c r="BK917" t="s">
        <v>95</v>
      </c>
      <c r="BL917" t="s">
        <v>1418</v>
      </c>
      <c r="BM917" t="s">
        <v>12074</v>
      </c>
      <c r="BN917" t="s">
        <v>74</v>
      </c>
      <c r="BO917" t="s">
        <v>5238</v>
      </c>
      <c r="BP917" t="s">
        <v>74</v>
      </c>
      <c r="BQ917" t="s">
        <v>74</v>
      </c>
      <c r="BR917" t="s">
        <v>98</v>
      </c>
      <c r="BS917" t="s">
        <v>12087</v>
      </c>
      <c r="BT917" t="str">
        <f>HYPERLINK("https%3A%2F%2Fwww.webofscience.com%2Fwos%2Fwoscc%2Ffull-record%2FWOS:000073290900028","View Full Record in Web of Science")</f>
        <v>View Full Record in Web of Science</v>
      </c>
    </row>
    <row r="918" spans="1:72" x14ac:dyDescent="0.15">
      <c r="A918" t="s">
        <v>72</v>
      </c>
      <c r="B918" t="s">
        <v>12088</v>
      </c>
      <c r="C918" t="s">
        <v>74</v>
      </c>
      <c r="D918" t="s">
        <v>74</v>
      </c>
      <c r="E918" t="s">
        <v>74</v>
      </c>
      <c r="F918" t="s">
        <v>12088</v>
      </c>
      <c r="G918" t="s">
        <v>74</v>
      </c>
      <c r="H918" t="s">
        <v>74</v>
      </c>
      <c r="I918" t="s">
        <v>12089</v>
      </c>
      <c r="J918" t="s">
        <v>4802</v>
      </c>
      <c r="K918" t="s">
        <v>74</v>
      </c>
      <c r="L918" t="s">
        <v>74</v>
      </c>
      <c r="M918" t="s">
        <v>77</v>
      </c>
      <c r="N918" t="s">
        <v>103</v>
      </c>
      <c r="O918" t="s">
        <v>74</v>
      </c>
      <c r="P918" t="s">
        <v>74</v>
      </c>
      <c r="Q918" t="s">
        <v>74</v>
      </c>
      <c r="R918" t="s">
        <v>74</v>
      </c>
      <c r="S918" t="s">
        <v>74</v>
      </c>
      <c r="T918" t="s">
        <v>74</v>
      </c>
      <c r="U918" t="s">
        <v>12090</v>
      </c>
      <c r="V918" t="s">
        <v>12091</v>
      </c>
      <c r="W918" t="s">
        <v>12092</v>
      </c>
      <c r="X918" t="s">
        <v>12093</v>
      </c>
      <c r="Y918" t="s">
        <v>12094</v>
      </c>
      <c r="Z918" t="s">
        <v>74</v>
      </c>
      <c r="AA918" t="s">
        <v>12095</v>
      </c>
      <c r="AB918" t="s">
        <v>12096</v>
      </c>
      <c r="AC918" t="s">
        <v>74</v>
      </c>
      <c r="AD918" t="s">
        <v>74</v>
      </c>
      <c r="AE918" t="s">
        <v>74</v>
      </c>
      <c r="AF918" t="s">
        <v>74</v>
      </c>
      <c r="AG918">
        <v>57</v>
      </c>
      <c r="AH918">
        <v>79</v>
      </c>
      <c r="AI918">
        <v>84</v>
      </c>
      <c r="AJ918">
        <v>0</v>
      </c>
      <c r="AK918">
        <v>20</v>
      </c>
      <c r="AL918" t="s">
        <v>966</v>
      </c>
      <c r="AM918" t="s">
        <v>967</v>
      </c>
      <c r="AN918" t="s">
        <v>968</v>
      </c>
      <c r="AO918" t="s">
        <v>4811</v>
      </c>
      <c r="AP918" t="s">
        <v>4812</v>
      </c>
      <c r="AQ918" t="s">
        <v>74</v>
      </c>
      <c r="AR918" t="s">
        <v>4813</v>
      </c>
      <c r="AS918" t="s">
        <v>4814</v>
      </c>
      <c r="AT918" t="s">
        <v>12071</v>
      </c>
      <c r="AU918">
        <v>1998</v>
      </c>
      <c r="AV918">
        <v>103</v>
      </c>
      <c r="AW918" t="s">
        <v>12072</v>
      </c>
      <c r="AX918" t="s">
        <v>74</v>
      </c>
      <c r="AY918" t="s">
        <v>74</v>
      </c>
      <c r="AZ918" t="s">
        <v>74</v>
      </c>
      <c r="BA918" t="s">
        <v>74</v>
      </c>
      <c r="BB918">
        <v>8963</v>
      </c>
      <c r="BC918">
        <v>8977</v>
      </c>
      <c r="BD918" t="s">
        <v>74</v>
      </c>
      <c r="BE918" t="s">
        <v>12097</v>
      </c>
      <c r="BF918" t="str">
        <f>HYPERLINK("http://dx.doi.org/10.1029/97JD02253","http://dx.doi.org/10.1029/97JD02253")</f>
        <v>http://dx.doi.org/10.1029/97JD02253</v>
      </c>
      <c r="BG918" t="s">
        <v>74</v>
      </c>
      <c r="BH918" t="s">
        <v>74</v>
      </c>
      <c r="BI918">
        <v>15</v>
      </c>
      <c r="BJ918" t="s">
        <v>1418</v>
      </c>
      <c r="BK918" t="s">
        <v>95</v>
      </c>
      <c r="BL918" t="s">
        <v>1418</v>
      </c>
      <c r="BM918" t="s">
        <v>12074</v>
      </c>
      <c r="BN918" t="s">
        <v>74</v>
      </c>
      <c r="BO918" t="s">
        <v>1005</v>
      </c>
      <c r="BP918" t="s">
        <v>74</v>
      </c>
      <c r="BQ918" t="s">
        <v>74</v>
      </c>
      <c r="BR918" t="s">
        <v>98</v>
      </c>
      <c r="BS918" t="s">
        <v>12098</v>
      </c>
      <c r="BT918" t="str">
        <f>HYPERLINK("https%3A%2F%2Fwww.webofscience.com%2Fwos%2Fwoscc%2Ffull-record%2FWOS:000073290900030","View Full Record in Web of Science")</f>
        <v>View Full Record in Web of Science</v>
      </c>
    </row>
    <row r="919" spans="1:72" x14ac:dyDescent="0.15">
      <c r="A919" t="s">
        <v>72</v>
      </c>
      <c r="B919" t="s">
        <v>12099</v>
      </c>
      <c r="C919" t="s">
        <v>74</v>
      </c>
      <c r="D919" t="s">
        <v>74</v>
      </c>
      <c r="E919" t="s">
        <v>74</v>
      </c>
      <c r="F919" t="s">
        <v>12099</v>
      </c>
      <c r="G919" t="s">
        <v>74</v>
      </c>
      <c r="H919" t="s">
        <v>74</v>
      </c>
      <c r="I919" t="s">
        <v>12100</v>
      </c>
      <c r="J919" t="s">
        <v>12101</v>
      </c>
      <c r="K919" t="s">
        <v>74</v>
      </c>
      <c r="L919" t="s">
        <v>74</v>
      </c>
      <c r="M919" t="s">
        <v>77</v>
      </c>
      <c r="N919" t="s">
        <v>123</v>
      </c>
      <c r="O919" t="s">
        <v>12102</v>
      </c>
      <c r="P919" t="s">
        <v>12103</v>
      </c>
      <c r="Q919" t="s">
        <v>12104</v>
      </c>
      <c r="R919" t="s">
        <v>74</v>
      </c>
      <c r="S919" t="s">
        <v>74</v>
      </c>
      <c r="T919" t="s">
        <v>12105</v>
      </c>
      <c r="U919" t="s">
        <v>12106</v>
      </c>
      <c r="V919" t="s">
        <v>12107</v>
      </c>
      <c r="W919" t="s">
        <v>12108</v>
      </c>
      <c r="X919" t="s">
        <v>12109</v>
      </c>
      <c r="Y919" t="s">
        <v>12110</v>
      </c>
      <c r="Z919" t="s">
        <v>74</v>
      </c>
      <c r="AA919" t="s">
        <v>12111</v>
      </c>
      <c r="AB919" t="s">
        <v>12112</v>
      </c>
      <c r="AC919" t="s">
        <v>74</v>
      </c>
      <c r="AD919" t="s">
        <v>74</v>
      </c>
      <c r="AE919" t="s">
        <v>74</v>
      </c>
      <c r="AF919" t="s">
        <v>74</v>
      </c>
      <c r="AG919">
        <v>24</v>
      </c>
      <c r="AH919">
        <v>9</v>
      </c>
      <c r="AI919">
        <v>10</v>
      </c>
      <c r="AJ919">
        <v>0</v>
      </c>
      <c r="AK919">
        <v>4</v>
      </c>
      <c r="AL919" t="s">
        <v>1037</v>
      </c>
      <c r="AM919" t="s">
        <v>1038</v>
      </c>
      <c r="AN919" t="s">
        <v>1039</v>
      </c>
      <c r="AO919" t="s">
        <v>12113</v>
      </c>
      <c r="AP919" t="s">
        <v>74</v>
      </c>
      <c r="AQ919" t="s">
        <v>74</v>
      </c>
      <c r="AR919" t="s">
        <v>12114</v>
      </c>
      <c r="AS919" t="s">
        <v>12115</v>
      </c>
      <c r="AT919" t="s">
        <v>12116</v>
      </c>
      <c r="AU919">
        <v>1998</v>
      </c>
      <c r="AV919">
        <v>804</v>
      </c>
      <c r="AW919" t="s">
        <v>412</v>
      </c>
      <c r="AX919" t="s">
        <v>74</v>
      </c>
      <c r="AY919" t="s">
        <v>74</v>
      </c>
      <c r="AZ919" t="s">
        <v>74</v>
      </c>
      <c r="BA919" t="s">
        <v>74</v>
      </c>
      <c r="BB919">
        <v>95</v>
      </c>
      <c r="BC919">
        <v>103</v>
      </c>
      <c r="BD919" t="s">
        <v>74</v>
      </c>
      <c r="BE919" t="s">
        <v>12117</v>
      </c>
      <c r="BF919" t="str">
        <f>HYPERLINK("http://dx.doi.org/10.1016/S0021-9673(98)00122-8","http://dx.doi.org/10.1016/S0021-9673(98)00122-8")</f>
        <v>http://dx.doi.org/10.1016/S0021-9673(98)00122-8</v>
      </c>
      <c r="BG919" t="s">
        <v>74</v>
      </c>
      <c r="BH919" t="s">
        <v>74</v>
      </c>
      <c r="BI919">
        <v>9</v>
      </c>
      <c r="BJ919" t="s">
        <v>12118</v>
      </c>
      <c r="BK919" t="s">
        <v>235</v>
      </c>
      <c r="BL919" t="s">
        <v>12119</v>
      </c>
      <c r="BM919" t="s">
        <v>12120</v>
      </c>
      <c r="BN919" t="s">
        <v>74</v>
      </c>
      <c r="BO919" t="s">
        <v>74</v>
      </c>
      <c r="BP919" t="s">
        <v>74</v>
      </c>
      <c r="BQ919" t="s">
        <v>74</v>
      </c>
      <c r="BR919" t="s">
        <v>98</v>
      </c>
      <c r="BS919" t="s">
        <v>12121</v>
      </c>
      <c r="BT919" t="str">
        <f>HYPERLINK("https%3A%2F%2Fwww.webofscience.com%2Fwos%2Fwoscc%2Ffull-record%2FWOS:000073638400012","View Full Record in Web of Science")</f>
        <v>View Full Record in Web of Science</v>
      </c>
    </row>
    <row r="920" spans="1:72" x14ac:dyDescent="0.15">
      <c r="A920" t="s">
        <v>72</v>
      </c>
      <c r="B920" t="s">
        <v>12122</v>
      </c>
      <c r="C920" t="s">
        <v>74</v>
      </c>
      <c r="D920" t="s">
        <v>74</v>
      </c>
      <c r="E920" t="s">
        <v>74</v>
      </c>
      <c r="F920" t="s">
        <v>12122</v>
      </c>
      <c r="G920" t="s">
        <v>74</v>
      </c>
      <c r="H920" t="s">
        <v>74</v>
      </c>
      <c r="I920" t="s">
        <v>12123</v>
      </c>
      <c r="J920" t="s">
        <v>6726</v>
      </c>
      <c r="K920" t="s">
        <v>74</v>
      </c>
      <c r="L920" t="s">
        <v>74</v>
      </c>
      <c r="M920" t="s">
        <v>77</v>
      </c>
      <c r="N920" t="s">
        <v>103</v>
      </c>
      <c r="O920" t="s">
        <v>74</v>
      </c>
      <c r="P920" t="s">
        <v>74</v>
      </c>
      <c r="Q920" t="s">
        <v>74</v>
      </c>
      <c r="R920" t="s">
        <v>74</v>
      </c>
      <c r="S920" t="s">
        <v>74</v>
      </c>
      <c r="T920" t="s">
        <v>74</v>
      </c>
      <c r="U920" t="s">
        <v>12124</v>
      </c>
      <c r="V920" t="s">
        <v>12125</v>
      </c>
      <c r="W920" t="s">
        <v>12126</v>
      </c>
      <c r="X920" t="s">
        <v>12127</v>
      </c>
      <c r="Y920" t="s">
        <v>12128</v>
      </c>
      <c r="Z920" t="s">
        <v>74</v>
      </c>
      <c r="AA920" t="s">
        <v>74</v>
      </c>
      <c r="AB920" t="s">
        <v>74</v>
      </c>
      <c r="AC920" t="s">
        <v>74</v>
      </c>
      <c r="AD920" t="s">
        <v>74</v>
      </c>
      <c r="AE920" t="s">
        <v>74</v>
      </c>
      <c r="AF920" t="s">
        <v>74</v>
      </c>
      <c r="AG920">
        <v>19</v>
      </c>
      <c r="AH920">
        <v>195</v>
      </c>
      <c r="AI920">
        <v>223</v>
      </c>
      <c r="AJ920">
        <v>0</v>
      </c>
      <c r="AK920">
        <v>73</v>
      </c>
      <c r="AL920" t="s">
        <v>6731</v>
      </c>
      <c r="AM920" t="s">
        <v>1121</v>
      </c>
      <c r="AN920" t="s">
        <v>6732</v>
      </c>
      <c r="AO920" t="s">
        <v>6733</v>
      </c>
      <c r="AP920" t="s">
        <v>74</v>
      </c>
      <c r="AQ920" t="s">
        <v>74</v>
      </c>
      <c r="AR920" t="s">
        <v>6726</v>
      </c>
      <c r="AS920" t="s">
        <v>6734</v>
      </c>
      <c r="AT920" t="s">
        <v>12129</v>
      </c>
      <c r="AU920">
        <v>1998</v>
      </c>
      <c r="AV920">
        <v>392</v>
      </c>
      <c r="AW920">
        <v>6677</v>
      </c>
      <c r="AX920" t="s">
        <v>74</v>
      </c>
      <c r="AY920" t="s">
        <v>74</v>
      </c>
      <c r="AZ920" t="s">
        <v>74</v>
      </c>
      <c r="BA920" t="s">
        <v>74</v>
      </c>
      <c r="BB920">
        <v>708</v>
      </c>
      <c r="BC920">
        <v>710</v>
      </c>
      <c r="BD920" t="s">
        <v>74</v>
      </c>
      <c r="BE920" t="s">
        <v>12130</v>
      </c>
      <c r="BF920" t="str">
        <f>HYPERLINK("http://dx.doi.org/10.1038/33675","http://dx.doi.org/10.1038/33675")</f>
        <v>http://dx.doi.org/10.1038/33675</v>
      </c>
      <c r="BG920" t="s">
        <v>74</v>
      </c>
      <c r="BH920" t="s">
        <v>74</v>
      </c>
      <c r="BI920">
        <v>3</v>
      </c>
      <c r="BJ920" t="s">
        <v>3377</v>
      </c>
      <c r="BK920" t="s">
        <v>95</v>
      </c>
      <c r="BL920" t="s">
        <v>3378</v>
      </c>
      <c r="BM920" t="s">
        <v>12131</v>
      </c>
      <c r="BN920" t="s">
        <v>74</v>
      </c>
      <c r="BO920" t="s">
        <v>74</v>
      </c>
      <c r="BP920" t="s">
        <v>74</v>
      </c>
      <c r="BQ920" t="s">
        <v>74</v>
      </c>
      <c r="BR920" t="s">
        <v>98</v>
      </c>
      <c r="BS920" t="s">
        <v>12132</v>
      </c>
      <c r="BT920" t="str">
        <f>HYPERLINK("https%3A%2F%2Fwww.webofscience.com%2Fwos%2Fwoscc%2Ffull-record%2FWOS:000073129000056","View Full Record in Web of Science")</f>
        <v>View Full Record in Web of Science</v>
      </c>
    </row>
    <row r="921" spans="1:72" x14ac:dyDescent="0.15">
      <c r="A921" t="s">
        <v>72</v>
      </c>
      <c r="B921" t="s">
        <v>12133</v>
      </c>
      <c r="C921" t="s">
        <v>74</v>
      </c>
      <c r="D921" t="s">
        <v>74</v>
      </c>
      <c r="E921" t="s">
        <v>74</v>
      </c>
      <c r="F921" t="s">
        <v>12133</v>
      </c>
      <c r="G921" t="s">
        <v>74</v>
      </c>
      <c r="H921" t="s">
        <v>74</v>
      </c>
      <c r="I921" t="s">
        <v>12134</v>
      </c>
      <c r="J921" t="s">
        <v>8998</v>
      </c>
      <c r="K921" t="s">
        <v>74</v>
      </c>
      <c r="L921" t="s">
        <v>74</v>
      </c>
      <c r="M921" t="s">
        <v>77</v>
      </c>
      <c r="N921" t="s">
        <v>103</v>
      </c>
      <c r="O921" t="s">
        <v>74</v>
      </c>
      <c r="P921" t="s">
        <v>74</v>
      </c>
      <c r="Q921" t="s">
        <v>74</v>
      </c>
      <c r="R921" t="s">
        <v>74</v>
      </c>
      <c r="S921" t="s">
        <v>74</v>
      </c>
      <c r="T921" t="s">
        <v>12135</v>
      </c>
      <c r="U921" t="s">
        <v>12136</v>
      </c>
      <c r="V921" t="s">
        <v>12137</v>
      </c>
      <c r="W921" t="s">
        <v>12138</v>
      </c>
      <c r="X921" t="s">
        <v>12139</v>
      </c>
      <c r="Y921" t="s">
        <v>12140</v>
      </c>
      <c r="Z921" t="s">
        <v>74</v>
      </c>
      <c r="AA921" t="s">
        <v>12141</v>
      </c>
      <c r="AB921" t="s">
        <v>12142</v>
      </c>
      <c r="AC921" t="s">
        <v>74</v>
      </c>
      <c r="AD921" t="s">
        <v>74</v>
      </c>
      <c r="AE921" t="s">
        <v>74</v>
      </c>
      <c r="AF921" t="s">
        <v>74</v>
      </c>
      <c r="AG921">
        <v>14</v>
      </c>
      <c r="AH921">
        <v>6</v>
      </c>
      <c r="AI921">
        <v>7</v>
      </c>
      <c r="AJ921">
        <v>1</v>
      </c>
      <c r="AK921">
        <v>3</v>
      </c>
      <c r="AL921" t="s">
        <v>1037</v>
      </c>
      <c r="AM921" t="s">
        <v>1038</v>
      </c>
      <c r="AN921" t="s">
        <v>1039</v>
      </c>
      <c r="AO921" t="s">
        <v>9006</v>
      </c>
      <c r="AP921" t="s">
        <v>74</v>
      </c>
      <c r="AQ921" t="s">
        <v>74</v>
      </c>
      <c r="AR921" t="s">
        <v>9008</v>
      </c>
      <c r="AS921" t="s">
        <v>9009</v>
      </c>
      <c r="AT921" t="s">
        <v>12143</v>
      </c>
      <c r="AU921">
        <v>1998</v>
      </c>
      <c r="AV921">
        <v>161</v>
      </c>
      <c r="AW921">
        <v>2</v>
      </c>
      <c r="AX921" t="s">
        <v>74</v>
      </c>
      <c r="AY921" t="s">
        <v>74</v>
      </c>
      <c r="AZ921" t="s">
        <v>74</v>
      </c>
      <c r="BA921" t="s">
        <v>74</v>
      </c>
      <c r="BB921">
        <v>311</v>
      </c>
      <c r="BC921">
        <v>315</v>
      </c>
      <c r="BD921" t="s">
        <v>74</v>
      </c>
      <c r="BE921" t="s">
        <v>12144</v>
      </c>
      <c r="BF921" t="str">
        <f>HYPERLINK("http://dx.doi.org/10.1111/j.1574-6968.1998.tb12962.x","http://dx.doi.org/10.1111/j.1574-6968.1998.tb12962.x")</f>
        <v>http://dx.doi.org/10.1111/j.1574-6968.1998.tb12962.x</v>
      </c>
      <c r="BG921" t="s">
        <v>74</v>
      </c>
      <c r="BH921" t="s">
        <v>74</v>
      </c>
      <c r="BI921">
        <v>5</v>
      </c>
      <c r="BJ921" t="s">
        <v>5766</v>
      </c>
      <c r="BK921" t="s">
        <v>95</v>
      </c>
      <c r="BL921" t="s">
        <v>5766</v>
      </c>
      <c r="BM921" t="s">
        <v>12145</v>
      </c>
      <c r="BN921" t="s">
        <v>74</v>
      </c>
      <c r="BO921" t="s">
        <v>74</v>
      </c>
      <c r="BP921" t="s">
        <v>74</v>
      </c>
      <c r="BQ921" t="s">
        <v>74</v>
      </c>
      <c r="BR921" t="s">
        <v>98</v>
      </c>
      <c r="BS921" t="s">
        <v>12146</v>
      </c>
      <c r="BT921" t="str">
        <f>HYPERLINK("https%3A%2F%2Fwww.webofscience.com%2Fwos%2Fwoscc%2Ffull-record%2FWOS:000073167100012","View Full Record in Web of Science")</f>
        <v>View Full Record in Web of Science</v>
      </c>
    </row>
    <row r="922" spans="1:72" x14ac:dyDescent="0.15">
      <c r="A922" t="s">
        <v>72</v>
      </c>
      <c r="B922" t="s">
        <v>12147</v>
      </c>
      <c r="C922" t="s">
        <v>74</v>
      </c>
      <c r="D922" t="s">
        <v>74</v>
      </c>
      <c r="E922" t="s">
        <v>74</v>
      </c>
      <c r="F922" t="s">
        <v>12147</v>
      </c>
      <c r="G922" t="s">
        <v>74</v>
      </c>
      <c r="H922" t="s">
        <v>74</v>
      </c>
      <c r="I922" t="s">
        <v>12148</v>
      </c>
      <c r="J922" t="s">
        <v>958</v>
      </c>
      <c r="K922" t="s">
        <v>74</v>
      </c>
      <c r="L922" t="s">
        <v>74</v>
      </c>
      <c r="M922" t="s">
        <v>77</v>
      </c>
      <c r="N922" t="s">
        <v>103</v>
      </c>
      <c r="O922" t="s">
        <v>74</v>
      </c>
      <c r="P922" t="s">
        <v>74</v>
      </c>
      <c r="Q922" t="s">
        <v>74</v>
      </c>
      <c r="R922" t="s">
        <v>74</v>
      </c>
      <c r="S922" t="s">
        <v>74</v>
      </c>
      <c r="T922" t="s">
        <v>74</v>
      </c>
      <c r="U922" t="s">
        <v>12149</v>
      </c>
      <c r="V922" t="s">
        <v>12150</v>
      </c>
      <c r="W922" t="s">
        <v>12151</v>
      </c>
      <c r="X922" t="s">
        <v>12152</v>
      </c>
      <c r="Y922" t="s">
        <v>12153</v>
      </c>
      <c r="Z922" t="s">
        <v>74</v>
      </c>
      <c r="AA922" t="s">
        <v>12154</v>
      </c>
      <c r="AB922" t="s">
        <v>74</v>
      </c>
      <c r="AC922" t="s">
        <v>74</v>
      </c>
      <c r="AD922" t="s">
        <v>74</v>
      </c>
      <c r="AE922" t="s">
        <v>74</v>
      </c>
      <c r="AF922" t="s">
        <v>74</v>
      </c>
      <c r="AG922">
        <v>16</v>
      </c>
      <c r="AH922">
        <v>25</v>
      </c>
      <c r="AI922">
        <v>26</v>
      </c>
      <c r="AJ922">
        <v>0</v>
      </c>
      <c r="AK922">
        <v>3</v>
      </c>
      <c r="AL922" t="s">
        <v>966</v>
      </c>
      <c r="AM922" t="s">
        <v>967</v>
      </c>
      <c r="AN922" t="s">
        <v>968</v>
      </c>
      <c r="AO922" t="s">
        <v>969</v>
      </c>
      <c r="AP922" t="s">
        <v>74</v>
      </c>
      <c r="AQ922" t="s">
        <v>74</v>
      </c>
      <c r="AR922" t="s">
        <v>970</v>
      </c>
      <c r="AS922" t="s">
        <v>971</v>
      </c>
      <c r="AT922" t="s">
        <v>12143</v>
      </c>
      <c r="AU922">
        <v>1998</v>
      </c>
      <c r="AV922">
        <v>25</v>
      </c>
      <c r="AW922">
        <v>8</v>
      </c>
      <c r="AX922" t="s">
        <v>74</v>
      </c>
      <c r="AY922" t="s">
        <v>74</v>
      </c>
      <c r="AZ922" t="s">
        <v>74</v>
      </c>
      <c r="BA922" t="s">
        <v>74</v>
      </c>
      <c r="BB922">
        <v>1189</v>
      </c>
      <c r="BC922">
        <v>1192</v>
      </c>
      <c r="BD922" t="s">
        <v>74</v>
      </c>
      <c r="BE922" t="s">
        <v>12155</v>
      </c>
      <c r="BF922" t="str">
        <f>HYPERLINK("http://dx.doi.org/10.1029/98GL00854","http://dx.doi.org/10.1029/98GL00854")</f>
        <v>http://dx.doi.org/10.1029/98GL00854</v>
      </c>
      <c r="BG922" t="s">
        <v>74</v>
      </c>
      <c r="BH922" t="s">
        <v>74</v>
      </c>
      <c r="BI922">
        <v>4</v>
      </c>
      <c r="BJ922" t="s">
        <v>192</v>
      </c>
      <c r="BK922" t="s">
        <v>95</v>
      </c>
      <c r="BL922" t="s">
        <v>193</v>
      </c>
      <c r="BM922" t="s">
        <v>12156</v>
      </c>
      <c r="BN922" t="s">
        <v>74</v>
      </c>
      <c r="BO922" t="s">
        <v>1524</v>
      </c>
      <c r="BP922" t="s">
        <v>74</v>
      </c>
      <c r="BQ922" t="s">
        <v>74</v>
      </c>
      <c r="BR922" t="s">
        <v>98</v>
      </c>
      <c r="BS922" t="s">
        <v>12157</v>
      </c>
      <c r="BT922" t="str">
        <f>HYPERLINK("https%3A%2F%2Fwww.webofscience.com%2Fwos%2Fwoscc%2Ffull-record%2FWOS:000073112900021","View Full Record in Web of Science")</f>
        <v>View Full Record in Web of Science</v>
      </c>
    </row>
    <row r="923" spans="1:72" x14ac:dyDescent="0.15">
      <c r="A923" t="s">
        <v>72</v>
      </c>
      <c r="B923" t="s">
        <v>12158</v>
      </c>
      <c r="C923" t="s">
        <v>74</v>
      </c>
      <c r="D923" t="s">
        <v>74</v>
      </c>
      <c r="E923" t="s">
        <v>74</v>
      </c>
      <c r="F923" t="s">
        <v>12158</v>
      </c>
      <c r="G923" t="s">
        <v>74</v>
      </c>
      <c r="H923" t="s">
        <v>74</v>
      </c>
      <c r="I923" t="s">
        <v>12159</v>
      </c>
      <c r="J923" t="s">
        <v>3825</v>
      </c>
      <c r="K923" t="s">
        <v>74</v>
      </c>
      <c r="L923" t="s">
        <v>74</v>
      </c>
      <c r="M923" t="s">
        <v>77</v>
      </c>
      <c r="N923" t="s">
        <v>103</v>
      </c>
      <c r="O923" t="s">
        <v>74</v>
      </c>
      <c r="P923" t="s">
        <v>74</v>
      </c>
      <c r="Q923" t="s">
        <v>74</v>
      </c>
      <c r="R923" t="s">
        <v>74</v>
      </c>
      <c r="S923" t="s">
        <v>74</v>
      </c>
      <c r="T923" t="s">
        <v>74</v>
      </c>
      <c r="U923" t="s">
        <v>12160</v>
      </c>
      <c r="V923" t="s">
        <v>12161</v>
      </c>
      <c r="W923" t="s">
        <v>12162</v>
      </c>
      <c r="X923" t="s">
        <v>12163</v>
      </c>
      <c r="Y923" t="s">
        <v>12164</v>
      </c>
      <c r="Z923" t="s">
        <v>12165</v>
      </c>
      <c r="AA923" t="s">
        <v>12166</v>
      </c>
      <c r="AB923" t="s">
        <v>74</v>
      </c>
      <c r="AC923" t="s">
        <v>74</v>
      </c>
      <c r="AD923" t="s">
        <v>74</v>
      </c>
      <c r="AE923" t="s">
        <v>74</v>
      </c>
      <c r="AF923" t="s">
        <v>74</v>
      </c>
      <c r="AG923">
        <v>18</v>
      </c>
      <c r="AH923">
        <v>23</v>
      </c>
      <c r="AI923">
        <v>27</v>
      </c>
      <c r="AJ923">
        <v>0</v>
      </c>
      <c r="AK923">
        <v>7</v>
      </c>
      <c r="AL923" t="s">
        <v>966</v>
      </c>
      <c r="AM923" t="s">
        <v>967</v>
      </c>
      <c r="AN923" t="s">
        <v>968</v>
      </c>
      <c r="AO923" t="s">
        <v>74</v>
      </c>
      <c r="AP923" t="s">
        <v>74</v>
      </c>
      <c r="AQ923" t="s">
        <v>74</v>
      </c>
      <c r="AR923" t="s">
        <v>3835</v>
      </c>
      <c r="AS923" t="s">
        <v>3836</v>
      </c>
      <c r="AT923" t="s">
        <v>12143</v>
      </c>
      <c r="AU923">
        <v>1998</v>
      </c>
      <c r="AV923">
        <v>103</v>
      </c>
      <c r="AW923" t="s">
        <v>12167</v>
      </c>
      <c r="AX923" t="s">
        <v>74</v>
      </c>
      <c r="AY923" t="s">
        <v>74</v>
      </c>
      <c r="AZ923" t="s">
        <v>74</v>
      </c>
      <c r="BA923" t="s">
        <v>74</v>
      </c>
      <c r="BB923">
        <v>7601</v>
      </c>
      <c r="BC923">
        <v>7615</v>
      </c>
      <c r="BD923" t="s">
        <v>74</v>
      </c>
      <c r="BE923" t="s">
        <v>12168</v>
      </c>
      <c r="BF923" t="str">
        <f>HYPERLINK("http://dx.doi.org/10.1029/97JC02806","http://dx.doi.org/10.1029/97JC02806")</f>
        <v>http://dx.doi.org/10.1029/97JC02806</v>
      </c>
      <c r="BG923" t="s">
        <v>74</v>
      </c>
      <c r="BH923" t="s">
        <v>74</v>
      </c>
      <c r="BI923">
        <v>15</v>
      </c>
      <c r="BJ923" t="s">
        <v>451</v>
      </c>
      <c r="BK923" t="s">
        <v>95</v>
      </c>
      <c r="BL923" t="s">
        <v>451</v>
      </c>
      <c r="BM923" t="s">
        <v>12169</v>
      </c>
      <c r="BN923" t="s">
        <v>74</v>
      </c>
      <c r="BO923" t="s">
        <v>1524</v>
      </c>
      <c r="BP923" t="s">
        <v>74</v>
      </c>
      <c r="BQ923" t="s">
        <v>74</v>
      </c>
      <c r="BR923" t="s">
        <v>98</v>
      </c>
      <c r="BS923" t="s">
        <v>12170</v>
      </c>
      <c r="BT923" t="str">
        <f>HYPERLINK("https%3A%2F%2Fwww.webofscience.com%2Fwos%2Fwoscc%2Ffull-record%2FWOS:000073114800010","View Full Record in Web of Science")</f>
        <v>View Full Record in Web of Science</v>
      </c>
    </row>
    <row r="924" spans="1:72" x14ac:dyDescent="0.15">
      <c r="A924" t="s">
        <v>72</v>
      </c>
      <c r="B924" t="s">
        <v>12171</v>
      </c>
      <c r="C924" t="s">
        <v>74</v>
      </c>
      <c r="D924" t="s">
        <v>74</v>
      </c>
      <c r="E924" t="s">
        <v>74</v>
      </c>
      <c r="F924" t="s">
        <v>12171</v>
      </c>
      <c r="G924" t="s">
        <v>74</v>
      </c>
      <c r="H924" t="s">
        <v>74</v>
      </c>
      <c r="I924" t="s">
        <v>12172</v>
      </c>
      <c r="J924" t="s">
        <v>3825</v>
      </c>
      <c r="K924" t="s">
        <v>74</v>
      </c>
      <c r="L924" t="s">
        <v>74</v>
      </c>
      <c r="M924" t="s">
        <v>77</v>
      </c>
      <c r="N924" t="s">
        <v>103</v>
      </c>
      <c r="O924" t="s">
        <v>74</v>
      </c>
      <c r="P924" t="s">
        <v>74</v>
      </c>
      <c r="Q924" t="s">
        <v>74</v>
      </c>
      <c r="R924" t="s">
        <v>74</v>
      </c>
      <c r="S924" t="s">
        <v>74</v>
      </c>
      <c r="T924" t="s">
        <v>74</v>
      </c>
      <c r="U924" t="s">
        <v>12173</v>
      </c>
      <c r="V924" t="s">
        <v>12174</v>
      </c>
      <c r="W924" t="s">
        <v>12175</v>
      </c>
      <c r="X924" t="s">
        <v>12176</v>
      </c>
      <c r="Y924" t="s">
        <v>12177</v>
      </c>
      <c r="Z924" t="s">
        <v>12178</v>
      </c>
      <c r="AA924" t="s">
        <v>74</v>
      </c>
      <c r="AB924" t="s">
        <v>12179</v>
      </c>
      <c r="AC924" t="s">
        <v>74</v>
      </c>
      <c r="AD924" t="s">
        <v>74</v>
      </c>
      <c r="AE924" t="s">
        <v>74</v>
      </c>
      <c r="AF924" t="s">
        <v>74</v>
      </c>
      <c r="AG924">
        <v>37</v>
      </c>
      <c r="AH924">
        <v>65</v>
      </c>
      <c r="AI924">
        <v>71</v>
      </c>
      <c r="AJ924">
        <v>0</v>
      </c>
      <c r="AK924">
        <v>4</v>
      </c>
      <c r="AL924" t="s">
        <v>966</v>
      </c>
      <c r="AM924" t="s">
        <v>967</v>
      </c>
      <c r="AN924" t="s">
        <v>968</v>
      </c>
      <c r="AO924" t="s">
        <v>74</v>
      </c>
      <c r="AP924" t="s">
        <v>74</v>
      </c>
      <c r="AQ924" t="s">
        <v>74</v>
      </c>
      <c r="AR924" t="s">
        <v>3835</v>
      </c>
      <c r="AS924" t="s">
        <v>3836</v>
      </c>
      <c r="AT924" t="s">
        <v>12143</v>
      </c>
      <c r="AU924">
        <v>1998</v>
      </c>
      <c r="AV924">
        <v>103</v>
      </c>
      <c r="AW924" t="s">
        <v>12167</v>
      </c>
      <c r="AX924" t="s">
        <v>74</v>
      </c>
      <c r="AY924" t="s">
        <v>74</v>
      </c>
      <c r="AZ924" t="s">
        <v>74</v>
      </c>
      <c r="BA924" t="s">
        <v>74</v>
      </c>
      <c r="BB924">
        <v>7617</v>
      </c>
      <c r="BC924">
        <v>7636</v>
      </c>
      <c r="BD924" t="s">
        <v>74</v>
      </c>
      <c r="BE924" t="s">
        <v>12180</v>
      </c>
      <c r="BF924" t="str">
        <f>HYPERLINK("http://dx.doi.org/10.1029/98JC00369","http://dx.doi.org/10.1029/98JC00369")</f>
        <v>http://dx.doi.org/10.1029/98JC00369</v>
      </c>
      <c r="BG924" t="s">
        <v>74</v>
      </c>
      <c r="BH924" t="s">
        <v>74</v>
      </c>
      <c r="BI924">
        <v>20</v>
      </c>
      <c r="BJ924" t="s">
        <v>451</v>
      </c>
      <c r="BK924" t="s">
        <v>95</v>
      </c>
      <c r="BL924" t="s">
        <v>451</v>
      </c>
      <c r="BM924" t="s">
        <v>12169</v>
      </c>
      <c r="BN924" t="s">
        <v>74</v>
      </c>
      <c r="BO924" t="s">
        <v>1005</v>
      </c>
      <c r="BP924" t="s">
        <v>74</v>
      </c>
      <c r="BQ924" t="s">
        <v>74</v>
      </c>
      <c r="BR924" t="s">
        <v>98</v>
      </c>
      <c r="BS924" t="s">
        <v>12181</v>
      </c>
      <c r="BT924" t="str">
        <f>HYPERLINK("https%3A%2F%2Fwww.webofscience.com%2Fwos%2Fwoscc%2Ffull-record%2FWOS:000073114800011","View Full Record in Web of Science")</f>
        <v>View Full Record in Web of Science</v>
      </c>
    </row>
    <row r="925" spans="1:72" x14ac:dyDescent="0.15">
      <c r="A925" t="s">
        <v>72</v>
      </c>
      <c r="B925" t="s">
        <v>12182</v>
      </c>
      <c r="C925" t="s">
        <v>74</v>
      </c>
      <c r="D925" t="s">
        <v>74</v>
      </c>
      <c r="E925" t="s">
        <v>74</v>
      </c>
      <c r="F925" t="s">
        <v>12182</v>
      </c>
      <c r="G925" t="s">
        <v>74</v>
      </c>
      <c r="H925" t="s">
        <v>74</v>
      </c>
      <c r="I925" t="s">
        <v>12183</v>
      </c>
      <c r="J925" t="s">
        <v>11259</v>
      </c>
      <c r="K925" t="s">
        <v>74</v>
      </c>
      <c r="L925" t="s">
        <v>74</v>
      </c>
      <c r="M925" t="s">
        <v>77</v>
      </c>
      <c r="N925" t="s">
        <v>103</v>
      </c>
      <c r="O925" t="s">
        <v>74</v>
      </c>
      <c r="P925" t="s">
        <v>74</v>
      </c>
      <c r="Q925" t="s">
        <v>74</v>
      </c>
      <c r="R925" t="s">
        <v>74</v>
      </c>
      <c r="S925" t="s">
        <v>74</v>
      </c>
      <c r="T925" t="s">
        <v>74</v>
      </c>
      <c r="U925" t="s">
        <v>12184</v>
      </c>
      <c r="V925" t="s">
        <v>12185</v>
      </c>
      <c r="W925" t="s">
        <v>12186</v>
      </c>
      <c r="X925" t="s">
        <v>10082</v>
      </c>
      <c r="Y925" t="s">
        <v>12187</v>
      </c>
      <c r="Z925" t="s">
        <v>74</v>
      </c>
      <c r="AA925" t="s">
        <v>74</v>
      </c>
      <c r="AB925" t="s">
        <v>12188</v>
      </c>
      <c r="AC925" t="s">
        <v>74</v>
      </c>
      <c r="AD925" t="s">
        <v>74</v>
      </c>
      <c r="AE925" t="s">
        <v>74</v>
      </c>
      <c r="AF925" t="s">
        <v>74</v>
      </c>
      <c r="AG925">
        <v>28</v>
      </c>
      <c r="AH925">
        <v>42</v>
      </c>
      <c r="AI925">
        <v>44</v>
      </c>
      <c r="AJ925">
        <v>0</v>
      </c>
      <c r="AK925">
        <v>3</v>
      </c>
      <c r="AL925" t="s">
        <v>1344</v>
      </c>
      <c r="AM925" t="s">
        <v>1345</v>
      </c>
      <c r="AN925" t="s">
        <v>1346</v>
      </c>
      <c r="AO925" t="s">
        <v>11265</v>
      </c>
      <c r="AP925" t="s">
        <v>74</v>
      </c>
      <c r="AQ925" t="s">
        <v>74</v>
      </c>
      <c r="AR925" t="s">
        <v>11266</v>
      </c>
      <c r="AS925" t="s">
        <v>11267</v>
      </c>
      <c r="AT925" t="s">
        <v>12143</v>
      </c>
      <c r="AU925">
        <v>1998</v>
      </c>
      <c r="AV925">
        <v>55</v>
      </c>
      <c r="AW925">
        <v>8</v>
      </c>
      <c r="AX925" t="s">
        <v>74</v>
      </c>
      <c r="AY925" t="s">
        <v>74</v>
      </c>
      <c r="AZ925" t="s">
        <v>74</v>
      </c>
      <c r="BA925" t="s">
        <v>74</v>
      </c>
      <c r="BB925">
        <v>1417</v>
      </c>
      <c r="BC925">
        <v>1428</v>
      </c>
      <c r="BD925" t="s">
        <v>74</v>
      </c>
      <c r="BE925" t="s">
        <v>12189</v>
      </c>
      <c r="BF925" t="str">
        <f>HYPERLINK("http://dx.doi.org/10.1175/1520-0469(1998)055&lt;1417:MTGIVO&gt;2.0.CO;2","http://dx.doi.org/10.1175/1520-0469(1998)055&lt;1417:MTGIVO&gt;2.0.CO;2")</f>
        <v>http://dx.doi.org/10.1175/1520-0469(1998)055&lt;1417:MTGIVO&gt;2.0.CO;2</v>
      </c>
      <c r="BG925" t="s">
        <v>74</v>
      </c>
      <c r="BH925" t="s">
        <v>74</v>
      </c>
      <c r="BI925">
        <v>12</v>
      </c>
      <c r="BJ925" t="s">
        <v>1418</v>
      </c>
      <c r="BK925" t="s">
        <v>95</v>
      </c>
      <c r="BL925" t="s">
        <v>1418</v>
      </c>
      <c r="BM925" t="s">
        <v>12190</v>
      </c>
      <c r="BN925" t="s">
        <v>74</v>
      </c>
      <c r="BO925" t="s">
        <v>1089</v>
      </c>
      <c r="BP925" t="s">
        <v>74</v>
      </c>
      <c r="BQ925" t="s">
        <v>74</v>
      </c>
      <c r="BR925" t="s">
        <v>98</v>
      </c>
      <c r="BS925" t="s">
        <v>12191</v>
      </c>
      <c r="BT925" t="str">
        <f>HYPERLINK("https%3A%2F%2Fwww.webofscience.com%2Fwos%2Fwoscc%2Ffull-record%2FWOS:000073244000008","View Full Record in Web of Science")</f>
        <v>View Full Record in Web of Science</v>
      </c>
    </row>
    <row r="926" spans="1:72" x14ac:dyDescent="0.15">
      <c r="A926" t="s">
        <v>72</v>
      </c>
      <c r="B926" t="s">
        <v>12192</v>
      </c>
      <c r="C926" t="s">
        <v>74</v>
      </c>
      <c r="D926" t="s">
        <v>74</v>
      </c>
      <c r="E926" t="s">
        <v>74</v>
      </c>
      <c r="F926" t="s">
        <v>12192</v>
      </c>
      <c r="G926" t="s">
        <v>74</v>
      </c>
      <c r="H926" t="s">
        <v>74</v>
      </c>
      <c r="I926" t="s">
        <v>12193</v>
      </c>
      <c r="J926" t="s">
        <v>6106</v>
      </c>
      <c r="K926" t="s">
        <v>74</v>
      </c>
      <c r="L926" t="s">
        <v>74</v>
      </c>
      <c r="M926" t="s">
        <v>77</v>
      </c>
      <c r="N926" t="s">
        <v>103</v>
      </c>
      <c r="O926" t="s">
        <v>74</v>
      </c>
      <c r="P926" t="s">
        <v>74</v>
      </c>
      <c r="Q926" t="s">
        <v>74</v>
      </c>
      <c r="R926" t="s">
        <v>74</v>
      </c>
      <c r="S926" t="s">
        <v>74</v>
      </c>
      <c r="T926" t="s">
        <v>74</v>
      </c>
      <c r="U926" t="s">
        <v>12194</v>
      </c>
      <c r="V926" t="s">
        <v>12195</v>
      </c>
      <c r="W926" t="s">
        <v>12196</v>
      </c>
      <c r="X926" t="s">
        <v>12197</v>
      </c>
      <c r="Y926" t="s">
        <v>12198</v>
      </c>
      <c r="Z926" t="s">
        <v>12199</v>
      </c>
      <c r="AA926" t="s">
        <v>74</v>
      </c>
      <c r="AB926" t="s">
        <v>74</v>
      </c>
      <c r="AC926" t="s">
        <v>74</v>
      </c>
      <c r="AD926" t="s">
        <v>74</v>
      </c>
      <c r="AE926" t="s">
        <v>74</v>
      </c>
      <c r="AF926" t="s">
        <v>74</v>
      </c>
      <c r="AG926">
        <v>67</v>
      </c>
      <c r="AH926">
        <v>32</v>
      </c>
      <c r="AI926">
        <v>35</v>
      </c>
      <c r="AJ926">
        <v>0</v>
      </c>
      <c r="AK926">
        <v>9</v>
      </c>
      <c r="AL926" t="s">
        <v>966</v>
      </c>
      <c r="AM926" t="s">
        <v>967</v>
      </c>
      <c r="AN926" t="s">
        <v>968</v>
      </c>
      <c r="AO926" t="s">
        <v>6114</v>
      </c>
      <c r="AP926" t="s">
        <v>6115</v>
      </c>
      <c r="AQ926" t="s">
        <v>74</v>
      </c>
      <c r="AR926" t="s">
        <v>6116</v>
      </c>
      <c r="AS926" t="s">
        <v>6117</v>
      </c>
      <c r="AT926" t="s">
        <v>12200</v>
      </c>
      <c r="AU926">
        <v>1998</v>
      </c>
      <c r="AV926">
        <v>103</v>
      </c>
      <c r="AW926" t="s">
        <v>12201</v>
      </c>
      <c r="AX926" t="s">
        <v>74</v>
      </c>
      <c r="AY926" t="s">
        <v>74</v>
      </c>
      <c r="AZ926" t="s">
        <v>74</v>
      </c>
      <c r="BA926" t="s">
        <v>74</v>
      </c>
      <c r="BB926">
        <v>7049</v>
      </c>
      <c r="BC926">
        <v>7067</v>
      </c>
      <c r="BD926" t="s">
        <v>74</v>
      </c>
      <c r="BE926" t="s">
        <v>12202</v>
      </c>
      <c r="BF926" t="str">
        <f>HYPERLINK("http://dx.doi.org/10.1029/97JB02133","http://dx.doi.org/10.1029/97JB02133")</f>
        <v>http://dx.doi.org/10.1029/97JB02133</v>
      </c>
      <c r="BG926" t="s">
        <v>74</v>
      </c>
      <c r="BH926" t="s">
        <v>74</v>
      </c>
      <c r="BI926">
        <v>19</v>
      </c>
      <c r="BJ926" t="s">
        <v>303</v>
      </c>
      <c r="BK926" t="s">
        <v>95</v>
      </c>
      <c r="BL926" t="s">
        <v>303</v>
      </c>
      <c r="BM926" t="s">
        <v>12203</v>
      </c>
      <c r="BN926" t="s">
        <v>74</v>
      </c>
      <c r="BO926" t="s">
        <v>2091</v>
      </c>
      <c r="BP926" t="s">
        <v>74</v>
      </c>
      <c r="BQ926" t="s">
        <v>74</v>
      </c>
      <c r="BR926" t="s">
        <v>98</v>
      </c>
      <c r="BS926" t="s">
        <v>12204</v>
      </c>
      <c r="BT926" t="str">
        <f>HYPERLINK("https%3A%2F%2Fwww.webofscience.com%2Fwos%2Fwoscc%2Ffull-record%2FWOS:000073022200001","View Full Record in Web of Science")</f>
        <v>View Full Record in Web of Science</v>
      </c>
    </row>
    <row r="927" spans="1:72" x14ac:dyDescent="0.15">
      <c r="A927" t="s">
        <v>72</v>
      </c>
      <c r="B927" t="s">
        <v>12205</v>
      </c>
      <c r="C927" t="s">
        <v>74</v>
      </c>
      <c r="D927" t="s">
        <v>74</v>
      </c>
      <c r="E927" t="s">
        <v>74</v>
      </c>
      <c r="F927" t="s">
        <v>12205</v>
      </c>
      <c r="G927" t="s">
        <v>74</v>
      </c>
      <c r="H927" t="s">
        <v>74</v>
      </c>
      <c r="I927" t="s">
        <v>12206</v>
      </c>
      <c r="J927" t="s">
        <v>6726</v>
      </c>
      <c r="K927" t="s">
        <v>74</v>
      </c>
      <c r="L927" t="s">
        <v>74</v>
      </c>
      <c r="M927" t="s">
        <v>77</v>
      </c>
      <c r="N927" t="s">
        <v>103</v>
      </c>
      <c r="O927" t="s">
        <v>74</v>
      </c>
      <c r="P927" t="s">
        <v>74</v>
      </c>
      <c r="Q927" t="s">
        <v>74</v>
      </c>
      <c r="R927" t="s">
        <v>74</v>
      </c>
      <c r="S927" t="s">
        <v>74</v>
      </c>
      <c r="T927" t="s">
        <v>74</v>
      </c>
      <c r="U927" t="s">
        <v>12207</v>
      </c>
      <c r="V927" t="s">
        <v>12208</v>
      </c>
      <c r="W927" t="s">
        <v>12209</v>
      </c>
      <c r="X927" t="s">
        <v>12210</v>
      </c>
      <c r="Y927" t="s">
        <v>12211</v>
      </c>
      <c r="Z927" t="s">
        <v>74</v>
      </c>
      <c r="AA927" t="s">
        <v>12212</v>
      </c>
      <c r="AB927" t="s">
        <v>12213</v>
      </c>
      <c r="AC927" t="s">
        <v>74</v>
      </c>
      <c r="AD927" t="s">
        <v>74</v>
      </c>
      <c r="AE927" t="s">
        <v>74</v>
      </c>
      <c r="AF927" t="s">
        <v>74</v>
      </c>
      <c r="AG927">
        <v>30</v>
      </c>
      <c r="AH927">
        <v>219</v>
      </c>
      <c r="AI927">
        <v>231</v>
      </c>
      <c r="AJ927">
        <v>0</v>
      </c>
      <c r="AK927">
        <v>40</v>
      </c>
      <c r="AL927" t="s">
        <v>6731</v>
      </c>
      <c r="AM927" t="s">
        <v>1121</v>
      </c>
      <c r="AN927" t="s">
        <v>6732</v>
      </c>
      <c r="AO927" t="s">
        <v>6733</v>
      </c>
      <c r="AP927" t="s">
        <v>74</v>
      </c>
      <c r="AQ927" t="s">
        <v>74</v>
      </c>
      <c r="AR927" t="s">
        <v>6726</v>
      </c>
      <c r="AS927" t="s">
        <v>6734</v>
      </c>
      <c r="AT927" t="s">
        <v>12214</v>
      </c>
      <c r="AU927">
        <v>1998</v>
      </c>
      <c r="AV927">
        <v>392</v>
      </c>
      <c r="AW927">
        <v>6676</v>
      </c>
      <c r="AX927" t="s">
        <v>74</v>
      </c>
      <c r="AY927" t="s">
        <v>74</v>
      </c>
      <c r="AZ927" t="s">
        <v>74</v>
      </c>
      <c r="BA927" t="s">
        <v>74</v>
      </c>
      <c r="BB927">
        <v>585</v>
      </c>
      <c r="BC927">
        <v>589</v>
      </c>
      <c r="BD927" t="s">
        <v>74</v>
      </c>
      <c r="BE927" t="s">
        <v>12215</v>
      </c>
      <c r="BF927" t="str">
        <f>HYPERLINK("http://dx.doi.org/10.1038/33374","http://dx.doi.org/10.1038/33374")</f>
        <v>http://dx.doi.org/10.1038/33374</v>
      </c>
      <c r="BG927" t="s">
        <v>74</v>
      </c>
      <c r="BH927" t="s">
        <v>74</v>
      </c>
      <c r="BI927">
        <v>5</v>
      </c>
      <c r="BJ927" t="s">
        <v>3377</v>
      </c>
      <c r="BK927" t="s">
        <v>95</v>
      </c>
      <c r="BL927" t="s">
        <v>3378</v>
      </c>
      <c r="BM927" t="s">
        <v>12216</v>
      </c>
      <c r="BN927" t="s">
        <v>74</v>
      </c>
      <c r="BO927" t="s">
        <v>74</v>
      </c>
      <c r="BP927" t="s">
        <v>74</v>
      </c>
      <c r="BQ927" t="s">
        <v>74</v>
      </c>
      <c r="BR927" t="s">
        <v>98</v>
      </c>
      <c r="BS927" t="s">
        <v>12217</v>
      </c>
      <c r="BT927" t="str">
        <f>HYPERLINK("https%3A%2F%2Fwww.webofscience.com%2Fwos%2Fwoscc%2Ffull-record%2FWOS:000072987200054","View Full Record in Web of Science")</f>
        <v>View Full Record in Web of Science</v>
      </c>
    </row>
    <row r="928" spans="1:72" x14ac:dyDescent="0.15">
      <c r="A928" t="s">
        <v>72</v>
      </c>
      <c r="B928" t="s">
        <v>11664</v>
      </c>
      <c r="C928" t="s">
        <v>74</v>
      </c>
      <c r="D928" t="s">
        <v>74</v>
      </c>
      <c r="E928" t="s">
        <v>74</v>
      </c>
      <c r="F928" t="s">
        <v>11664</v>
      </c>
      <c r="G928" t="s">
        <v>74</v>
      </c>
      <c r="H928" t="s">
        <v>74</v>
      </c>
      <c r="I928" t="s">
        <v>12218</v>
      </c>
      <c r="J928" t="s">
        <v>6726</v>
      </c>
      <c r="K928" t="s">
        <v>74</v>
      </c>
      <c r="L928" t="s">
        <v>74</v>
      </c>
      <c r="M928" t="s">
        <v>77</v>
      </c>
      <c r="N928" t="s">
        <v>103</v>
      </c>
      <c r="O928" t="s">
        <v>74</v>
      </c>
      <c r="P928" t="s">
        <v>74</v>
      </c>
      <c r="Q928" t="s">
        <v>74</v>
      </c>
      <c r="R928" t="s">
        <v>74</v>
      </c>
      <c r="S928" t="s">
        <v>74</v>
      </c>
      <c r="T928" t="s">
        <v>74</v>
      </c>
      <c r="U928" t="s">
        <v>12219</v>
      </c>
      <c r="V928" t="s">
        <v>12220</v>
      </c>
      <c r="W928" t="s">
        <v>12221</v>
      </c>
      <c r="X928" t="s">
        <v>11669</v>
      </c>
      <c r="Y928" t="s">
        <v>11670</v>
      </c>
      <c r="Z928" t="s">
        <v>74</v>
      </c>
      <c r="AA928" t="s">
        <v>11659</v>
      </c>
      <c r="AB928" t="s">
        <v>11660</v>
      </c>
      <c r="AC928" t="s">
        <v>74</v>
      </c>
      <c r="AD928" t="s">
        <v>74</v>
      </c>
      <c r="AE928" t="s">
        <v>74</v>
      </c>
      <c r="AF928" t="s">
        <v>74</v>
      </c>
      <c r="AG928">
        <v>30</v>
      </c>
      <c r="AH928">
        <v>443</v>
      </c>
      <c r="AI928">
        <v>476</v>
      </c>
      <c r="AJ928">
        <v>2</v>
      </c>
      <c r="AK928">
        <v>83</v>
      </c>
      <c r="AL928" t="s">
        <v>6731</v>
      </c>
      <c r="AM928" t="s">
        <v>1121</v>
      </c>
      <c r="AN928" t="s">
        <v>6732</v>
      </c>
      <c r="AO928" t="s">
        <v>6733</v>
      </c>
      <c r="AP928" t="s">
        <v>74</v>
      </c>
      <c r="AQ928" t="s">
        <v>74</v>
      </c>
      <c r="AR928" t="s">
        <v>6726</v>
      </c>
      <c r="AS928" t="s">
        <v>6734</v>
      </c>
      <c r="AT928" t="s">
        <v>12214</v>
      </c>
      <c r="AU928">
        <v>1998</v>
      </c>
      <c r="AV928">
        <v>392</v>
      </c>
      <c r="AW928">
        <v>6676</v>
      </c>
      <c r="AX928" t="s">
        <v>74</v>
      </c>
      <c r="AY928" t="s">
        <v>74</v>
      </c>
      <c r="AZ928" t="s">
        <v>74</v>
      </c>
      <c r="BA928" t="s">
        <v>74</v>
      </c>
      <c r="BB928">
        <v>589</v>
      </c>
      <c r="BC928">
        <v>592</v>
      </c>
      <c r="BD928" t="s">
        <v>74</v>
      </c>
      <c r="BE928" t="s">
        <v>12222</v>
      </c>
      <c r="BF928" t="str">
        <f>HYPERLINK("http://dx.doi.org/10.1038/33385","http://dx.doi.org/10.1038/33385")</f>
        <v>http://dx.doi.org/10.1038/33385</v>
      </c>
      <c r="BG928" t="s">
        <v>74</v>
      </c>
      <c r="BH928" t="s">
        <v>74</v>
      </c>
      <c r="BI928">
        <v>4</v>
      </c>
      <c r="BJ928" t="s">
        <v>3377</v>
      </c>
      <c r="BK928" t="s">
        <v>95</v>
      </c>
      <c r="BL928" t="s">
        <v>3378</v>
      </c>
      <c r="BM928" t="s">
        <v>12216</v>
      </c>
      <c r="BN928" t="s">
        <v>74</v>
      </c>
      <c r="BO928" t="s">
        <v>74</v>
      </c>
      <c r="BP928" t="s">
        <v>74</v>
      </c>
      <c r="BQ928" t="s">
        <v>74</v>
      </c>
      <c r="BR928" t="s">
        <v>98</v>
      </c>
      <c r="BS928" t="s">
        <v>12223</v>
      </c>
      <c r="BT928" t="str">
        <f>HYPERLINK("https%3A%2F%2Fwww.webofscience.com%2Fwos%2Fwoscc%2Ffull-record%2FWOS:000072987200055","View Full Record in Web of Science")</f>
        <v>View Full Record in Web of Science</v>
      </c>
    </row>
    <row r="929" spans="1:72" x14ac:dyDescent="0.15">
      <c r="A929" t="s">
        <v>72</v>
      </c>
      <c r="B929" t="s">
        <v>12224</v>
      </c>
      <c r="C929" t="s">
        <v>74</v>
      </c>
      <c r="D929" t="s">
        <v>74</v>
      </c>
      <c r="E929" t="s">
        <v>74</v>
      </c>
      <c r="F929" t="s">
        <v>12224</v>
      </c>
      <c r="G929" t="s">
        <v>74</v>
      </c>
      <c r="H929" t="s">
        <v>74</v>
      </c>
      <c r="I929" t="s">
        <v>12225</v>
      </c>
      <c r="J929" t="s">
        <v>12226</v>
      </c>
      <c r="K929" t="s">
        <v>74</v>
      </c>
      <c r="L929" t="s">
        <v>74</v>
      </c>
      <c r="M929" t="s">
        <v>77</v>
      </c>
      <c r="N929" t="s">
        <v>103</v>
      </c>
      <c r="O929" t="s">
        <v>74</v>
      </c>
      <c r="P929" t="s">
        <v>74</v>
      </c>
      <c r="Q929" t="s">
        <v>74</v>
      </c>
      <c r="R929" t="s">
        <v>74</v>
      </c>
      <c r="S929" t="s">
        <v>74</v>
      </c>
      <c r="T929" t="s">
        <v>74</v>
      </c>
      <c r="U929" t="s">
        <v>74</v>
      </c>
      <c r="V929" t="s">
        <v>12227</v>
      </c>
      <c r="W929" t="s">
        <v>12228</v>
      </c>
      <c r="X929" t="s">
        <v>12229</v>
      </c>
      <c r="Y929" t="s">
        <v>12230</v>
      </c>
      <c r="Z929" t="s">
        <v>74</v>
      </c>
      <c r="AA929" t="s">
        <v>12231</v>
      </c>
      <c r="AB929" t="s">
        <v>12232</v>
      </c>
      <c r="AC929" t="s">
        <v>74</v>
      </c>
      <c r="AD929" t="s">
        <v>74</v>
      </c>
      <c r="AE929" t="s">
        <v>74</v>
      </c>
      <c r="AF929" t="s">
        <v>74</v>
      </c>
      <c r="AG929">
        <v>10</v>
      </c>
      <c r="AH929">
        <v>9</v>
      </c>
      <c r="AI929">
        <v>9</v>
      </c>
      <c r="AJ929">
        <v>0</v>
      </c>
      <c r="AK929">
        <v>2</v>
      </c>
      <c r="AL929" t="s">
        <v>4157</v>
      </c>
      <c r="AM929" t="s">
        <v>4158</v>
      </c>
      <c r="AN929" t="s">
        <v>4159</v>
      </c>
      <c r="AO929" t="s">
        <v>12233</v>
      </c>
      <c r="AP929" t="s">
        <v>74</v>
      </c>
      <c r="AQ929" t="s">
        <v>74</v>
      </c>
      <c r="AR929" t="s">
        <v>12234</v>
      </c>
      <c r="AS929" t="s">
        <v>12235</v>
      </c>
      <c r="AT929" t="s">
        <v>12236</v>
      </c>
      <c r="AU929">
        <v>1998</v>
      </c>
      <c r="AV929">
        <v>31</v>
      </c>
      <c r="AW929">
        <v>7</v>
      </c>
      <c r="AX929" t="s">
        <v>74</v>
      </c>
      <c r="AY929" t="s">
        <v>74</v>
      </c>
      <c r="AZ929" t="s">
        <v>74</v>
      </c>
      <c r="BA929" t="s">
        <v>74</v>
      </c>
      <c r="BB929">
        <v>812</v>
      </c>
      <c r="BC929">
        <v>819</v>
      </c>
      <c r="BD929" t="s">
        <v>74</v>
      </c>
      <c r="BE929" t="s">
        <v>12237</v>
      </c>
      <c r="BF929" t="str">
        <f>HYPERLINK("http://dx.doi.org/10.1088/0022-3727/31/7/010","http://dx.doi.org/10.1088/0022-3727/31/7/010")</f>
        <v>http://dx.doi.org/10.1088/0022-3727/31/7/010</v>
      </c>
      <c r="BG929" t="s">
        <v>74</v>
      </c>
      <c r="BH929" t="s">
        <v>74</v>
      </c>
      <c r="BI929">
        <v>8</v>
      </c>
      <c r="BJ929" t="s">
        <v>12238</v>
      </c>
      <c r="BK929" t="s">
        <v>95</v>
      </c>
      <c r="BL929" t="s">
        <v>4630</v>
      </c>
      <c r="BM929" t="s">
        <v>12239</v>
      </c>
      <c r="BN929" t="s">
        <v>74</v>
      </c>
      <c r="BO929" t="s">
        <v>74</v>
      </c>
      <c r="BP929" t="s">
        <v>74</v>
      </c>
      <c r="BQ929" t="s">
        <v>74</v>
      </c>
      <c r="BR929" t="s">
        <v>98</v>
      </c>
      <c r="BS929" t="s">
        <v>12240</v>
      </c>
      <c r="BT929" t="str">
        <f>HYPERLINK("https%3A%2F%2Fwww.webofscience.com%2Fwos%2Fwoscc%2Ffull-record%2FWOS:000073328700010","View Full Record in Web of Science")</f>
        <v>View Full Record in Web of Science</v>
      </c>
    </row>
    <row r="930" spans="1:72" x14ac:dyDescent="0.15">
      <c r="A930" t="s">
        <v>72</v>
      </c>
      <c r="B930" t="s">
        <v>12241</v>
      </c>
      <c r="C930" t="s">
        <v>74</v>
      </c>
      <c r="D930" t="s">
        <v>74</v>
      </c>
      <c r="E930" t="s">
        <v>74</v>
      </c>
      <c r="F930" t="s">
        <v>12241</v>
      </c>
      <c r="G930" t="s">
        <v>74</v>
      </c>
      <c r="H930" t="s">
        <v>74</v>
      </c>
      <c r="I930" t="s">
        <v>12242</v>
      </c>
      <c r="J930" t="s">
        <v>4943</v>
      </c>
      <c r="K930" t="s">
        <v>74</v>
      </c>
      <c r="L930" t="s">
        <v>74</v>
      </c>
      <c r="M930" t="s">
        <v>77</v>
      </c>
      <c r="N930" t="s">
        <v>1545</v>
      </c>
      <c r="O930" t="s">
        <v>74</v>
      </c>
      <c r="P930" t="s">
        <v>74</v>
      </c>
      <c r="Q930" t="s">
        <v>74</v>
      </c>
      <c r="R930" t="s">
        <v>74</v>
      </c>
      <c r="S930" t="s">
        <v>74</v>
      </c>
      <c r="T930" t="s">
        <v>74</v>
      </c>
      <c r="U930" t="s">
        <v>74</v>
      </c>
      <c r="V930" t="s">
        <v>74</v>
      </c>
      <c r="W930" t="s">
        <v>1437</v>
      </c>
      <c r="X930" t="s">
        <v>628</v>
      </c>
      <c r="Y930" t="s">
        <v>12243</v>
      </c>
      <c r="Z930" t="s">
        <v>74</v>
      </c>
      <c r="AA930" t="s">
        <v>74</v>
      </c>
      <c r="AB930" t="s">
        <v>74</v>
      </c>
      <c r="AC930" t="s">
        <v>74</v>
      </c>
      <c r="AD930" t="s">
        <v>74</v>
      </c>
      <c r="AE930" t="s">
        <v>74</v>
      </c>
      <c r="AF930" t="s">
        <v>74</v>
      </c>
      <c r="AG930">
        <v>0</v>
      </c>
      <c r="AH930">
        <v>0</v>
      </c>
      <c r="AI930">
        <v>0</v>
      </c>
      <c r="AJ930">
        <v>0</v>
      </c>
      <c r="AK930">
        <v>0</v>
      </c>
      <c r="AL930" t="s">
        <v>4946</v>
      </c>
      <c r="AM930" t="s">
        <v>4947</v>
      </c>
      <c r="AN930" t="s">
        <v>4948</v>
      </c>
      <c r="AO930" t="s">
        <v>4949</v>
      </c>
      <c r="AP930" t="s">
        <v>74</v>
      </c>
      <c r="AQ930" t="s">
        <v>74</v>
      </c>
      <c r="AR930" t="s">
        <v>4950</v>
      </c>
      <c r="AS930" t="s">
        <v>4951</v>
      </c>
      <c r="AT930" t="s">
        <v>12244</v>
      </c>
      <c r="AU930">
        <v>1998</v>
      </c>
      <c r="AV930">
        <v>158</v>
      </c>
      <c r="AW930">
        <v>2128</v>
      </c>
      <c r="AX930" t="s">
        <v>74</v>
      </c>
      <c r="AY930" t="s">
        <v>74</v>
      </c>
      <c r="AZ930" t="s">
        <v>74</v>
      </c>
      <c r="BA930" t="s">
        <v>74</v>
      </c>
      <c r="BB930">
        <v>57</v>
      </c>
      <c r="BC930">
        <v>57</v>
      </c>
      <c r="BD930" t="s">
        <v>74</v>
      </c>
      <c r="BE930" t="s">
        <v>74</v>
      </c>
      <c r="BF930" t="s">
        <v>74</v>
      </c>
      <c r="BG930" t="s">
        <v>74</v>
      </c>
      <c r="BH930" t="s">
        <v>74</v>
      </c>
      <c r="BI930">
        <v>1</v>
      </c>
      <c r="BJ930" t="s">
        <v>3377</v>
      </c>
      <c r="BK930" t="s">
        <v>95</v>
      </c>
      <c r="BL930" t="s">
        <v>3378</v>
      </c>
      <c r="BM930" t="s">
        <v>12245</v>
      </c>
      <c r="BN930" t="s">
        <v>74</v>
      </c>
      <c r="BO930" t="s">
        <v>74</v>
      </c>
      <c r="BP930" t="s">
        <v>74</v>
      </c>
      <c r="BQ930" t="s">
        <v>74</v>
      </c>
      <c r="BR930" t="s">
        <v>98</v>
      </c>
      <c r="BS930" t="s">
        <v>12246</v>
      </c>
      <c r="BT930" t="str">
        <f>HYPERLINK("https%3A%2F%2Fwww.webofscience.com%2Fwos%2Fwoscc%2Ffull-record%2FWOS:000072908100053","View Full Record in Web of Science")</f>
        <v>View Full Record in Web of Science</v>
      </c>
    </row>
    <row r="931" spans="1:72" x14ac:dyDescent="0.15">
      <c r="A931" t="s">
        <v>72</v>
      </c>
      <c r="B931" t="s">
        <v>12247</v>
      </c>
      <c r="C931" t="s">
        <v>74</v>
      </c>
      <c r="D931" t="s">
        <v>74</v>
      </c>
      <c r="E931" t="s">
        <v>74</v>
      </c>
      <c r="F931" t="s">
        <v>12247</v>
      </c>
      <c r="G931" t="s">
        <v>74</v>
      </c>
      <c r="H931" t="s">
        <v>74</v>
      </c>
      <c r="I931" t="s">
        <v>12248</v>
      </c>
      <c r="J931" t="s">
        <v>9142</v>
      </c>
      <c r="K931" t="s">
        <v>74</v>
      </c>
      <c r="L931" t="s">
        <v>74</v>
      </c>
      <c r="M931" t="s">
        <v>77</v>
      </c>
      <c r="N931" t="s">
        <v>78</v>
      </c>
      <c r="O931" t="s">
        <v>74</v>
      </c>
      <c r="P931" t="s">
        <v>74</v>
      </c>
      <c r="Q931" t="s">
        <v>74</v>
      </c>
      <c r="R931" t="s">
        <v>74</v>
      </c>
      <c r="S931" t="s">
        <v>74</v>
      </c>
      <c r="T931" t="s">
        <v>74</v>
      </c>
      <c r="U931" t="s">
        <v>12249</v>
      </c>
      <c r="V931" t="s">
        <v>12250</v>
      </c>
      <c r="W931" t="s">
        <v>12251</v>
      </c>
      <c r="X931" t="s">
        <v>74</v>
      </c>
      <c r="Y931" t="s">
        <v>12252</v>
      </c>
      <c r="Z931" t="s">
        <v>12253</v>
      </c>
      <c r="AA931" t="s">
        <v>74</v>
      </c>
      <c r="AB931" t="s">
        <v>74</v>
      </c>
      <c r="AC931" t="s">
        <v>74</v>
      </c>
      <c r="AD931" t="s">
        <v>74</v>
      </c>
      <c r="AE931" t="s">
        <v>74</v>
      </c>
      <c r="AF931" t="s">
        <v>74</v>
      </c>
      <c r="AG931">
        <v>125</v>
      </c>
      <c r="AH931">
        <v>90</v>
      </c>
      <c r="AI931">
        <v>124</v>
      </c>
      <c r="AJ931">
        <v>0</v>
      </c>
      <c r="AK931">
        <v>3</v>
      </c>
      <c r="AL931" t="s">
        <v>9149</v>
      </c>
      <c r="AM931" t="s">
        <v>997</v>
      </c>
      <c r="AN931" t="s">
        <v>9150</v>
      </c>
      <c r="AO931" t="s">
        <v>9151</v>
      </c>
      <c r="AP931" t="s">
        <v>74</v>
      </c>
      <c r="AQ931" t="s">
        <v>74</v>
      </c>
      <c r="AR931" t="s">
        <v>9152</v>
      </c>
      <c r="AS931" t="s">
        <v>9153</v>
      </c>
      <c r="AT931" t="s">
        <v>12254</v>
      </c>
      <c r="AU931">
        <v>1998</v>
      </c>
      <c r="AV931">
        <v>82</v>
      </c>
      <c r="AW931">
        <v>4</v>
      </c>
      <c r="AX931" t="s">
        <v>74</v>
      </c>
      <c r="AY931" t="s">
        <v>74</v>
      </c>
      <c r="AZ931" t="s">
        <v>74</v>
      </c>
      <c r="BA931" t="s">
        <v>74</v>
      </c>
      <c r="BB931">
        <v>596</v>
      </c>
      <c r="BC931">
        <v>636</v>
      </c>
      <c r="BD931" t="s">
        <v>74</v>
      </c>
      <c r="BE931" t="s">
        <v>74</v>
      </c>
      <c r="BF931" t="s">
        <v>74</v>
      </c>
      <c r="BG931" t="s">
        <v>74</v>
      </c>
      <c r="BH931" t="s">
        <v>74</v>
      </c>
      <c r="BI931">
        <v>41</v>
      </c>
      <c r="BJ931" t="s">
        <v>192</v>
      </c>
      <c r="BK931" t="s">
        <v>95</v>
      </c>
      <c r="BL931" t="s">
        <v>193</v>
      </c>
      <c r="BM931" t="s">
        <v>12255</v>
      </c>
      <c r="BN931" t="s">
        <v>74</v>
      </c>
      <c r="BO931" t="s">
        <v>74</v>
      </c>
      <c r="BP931" t="s">
        <v>74</v>
      </c>
      <c r="BQ931" t="s">
        <v>74</v>
      </c>
      <c r="BR931" t="s">
        <v>98</v>
      </c>
      <c r="BS931" t="s">
        <v>12256</v>
      </c>
      <c r="BT931" t="str">
        <f>HYPERLINK("https%3A%2F%2Fwww.webofscience.com%2Fwos%2Fwoscc%2Ffull-record%2FWOS:000073010700004","View Full Record in Web of Science")</f>
        <v>View Full Record in Web of Science</v>
      </c>
    </row>
    <row r="932" spans="1:72" x14ac:dyDescent="0.15">
      <c r="A932" t="s">
        <v>72</v>
      </c>
      <c r="B932" t="s">
        <v>12257</v>
      </c>
      <c r="C932" t="s">
        <v>74</v>
      </c>
      <c r="D932" t="s">
        <v>74</v>
      </c>
      <c r="E932" t="s">
        <v>74</v>
      </c>
      <c r="F932" t="s">
        <v>12257</v>
      </c>
      <c r="G932" t="s">
        <v>74</v>
      </c>
      <c r="H932" t="s">
        <v>74</v>
      </c>
      <c r="I932" t="s">
        <v>12258</v>
      </c>
      <c r="J932" t="s">
        <v>6125</v>
      </c>
      <c r="K932" t="s">
        <v>74</v>
      </c>
      <c r="L932" t="s">
        <v>74</v>
      </c>
      <c r="M932" t="s">
        <v>77</v>
      </c>
      <c r="N932" t="s">
        <v>103</v>
      </c>
      <c r="O932" t="s">
        <v>74</v>
      </c>
      <c r="P932" t="s">
        <v>74</v>
      </c>
      <c r="Q932" t="s">
        <v>74</v>
      </c>
      <c r="R932" t="s">
        <v>74</v>
      </c>
      <c r="S932" t="s">
        <v>74</v>
      </c>
      <c r="T932" t="s">
        <v>74</v>
      </c>
      <c r="U932" t="s">
        <v>12259</v>
      </c>
      <c r="V932" t="s">
        <v>12260</v>
      </c>
      <c r="W932" t="s">
        <v>12261</v>
      </c>
      <c r="X932" t="s">
        <v>6130</v>
      </c>
      <c r="Y932" t="s">
        <v>12262</v>
      </c>
      <c r="Z932" t="s">
        <v>74</v>
      </c>
      <c r="AA932" t="s">
        <v>74</v>
      </c>
      <c r="AB932" t="s">
        <v>74</v>
      </c>
      <c r="AC932" t="s">
        <v>74</v>
      </c>
      <c r="AD932" t="s">
        <v>74</v>
      </c>
      <c r="AE932" t="s">
        <v>74</v>
      </c>
      <c r="AF932" t="s">
        <v>74</v>
      </c>
      <c r="AG932">
        <v>13</v>
      </c>
      <c r="AH932">
        <v>17</v>
      </c>
      <c r="AI932">
        <v>23</v>
      </c>
      <c r="AJ932">
        <v>0</v>
      </c>
      <c r="AK932">
        <v>4</v>
      </c>
      <c r="AL932" t="s">
        <v>12263</v>
      </c>
      <c r="AM932" t="s">
        <v>12264</v>
      </c>
      <c r="AN932" t="s">
        <v>12265</v>
      </c>
      <c r="AO932" t="s">
        <v>6135</v>
      </c>
      <c r="AP932" t="s">
        <v>74</v>
      </c>
      <c r="AQ932" t="s">
        <v>74</v>
      </c>
      <c r="AR932" t="s">
        <v>6137</v>
      </c>
      <c r="AS932" t="s">
        <v>6138</v>
      </c>
      <c r="AT932" t="s">
        <v>12254</v>
      </c>
      <c r="AU932">
        <v>1998</v>
      </c>
      <c r="AV932">
        <v>43</v>
      </c>
      <c r="AW932">
        <v>2</v>
      </c>
      <c r="AX932" t="s">
        <v>74</v>
      </c>
      <c r="AY932" t="s">
        <v>74</v>
      </c>
      <c r="AZ932" t="s">
        <v>74</v>
      </c>
      <c r="BA932" t="s">
        <v>74</v>
      </c>
      <c r="BB932">
        <v>64</v>
      </c>
      <c r="BC932">
        <v>70</v>
      </c>
      <c r="BD932" t="s">
        <v>74</v>
      </c>
      <c r="BE932" t="s">
        <v>74</v>
      </c>
      <c r="BF932" t="s">
        <v>74</v>
      </c>
      <c r="BG932" t="s">
        <v>74</v>
      </c>
      <c r="BH932" t="s">
        <v>74</v>
      </c>
      <c r="BI932">
        <v>7</v>
      </c>
      <c r="BJ932" t="s">
        <v>6140</v>
      </c>
      <c r="BK932" t="s">
        <v>95</v>
      </c>
      <c r="BL932" t="s">
        <v>6140</v>
      </c>
      <c r="BM932" t="s">
        <v>12266</v>
      </c>
      <c r="BN932" t="s">
        <v>74</v>
      </c>
      <c r="BO932" t="s">
        <v>74</v>
      </c>
      <c r="BP932" t="s">
        <v>74</v>
      </c>
      <c r="BQ932" t="s">
        <v>74</v>
      </c>
      <c r="BR932" t="s">
        <v>98</v>
      </c>
      <c r="BS932" t="s">
        <v>12267</v>
      </c>
      <c r="BT932" t="str">
        <f>HYPERLINK("https%3A%2F%2Fwww.webofscience.com%2Fwos%2Fwoscc%2Ffull-record%2FWOS:000074582800002","View Full Record in Web of Science")</f>
        <v>View Full Record in Web of Science</v>
      </c>
    </row>
    <row r="933" spans="1:72" x14ac:dyDescent="0.15">
      <c r="A933" t="s">
        <v>72</v>
      </c>
      <c r="B933" t="s">
        <v>12268</v>
      </c>
      <c r="C933" t="s">
        <v>74</v>
      </c>
      <c r="D933" t="s">
        <v>74</v>
      </c>
      <c r="E933" t="s">
        <v>74</v>
      </c>
      <c r="F933" t="s">
        <v>12268</v>
      </c>
      <c r="G933" t="s">
        <v>74</v>
      </c>
      <c r="H933" t="s">
        <v>74</v>
      </c>
      <c r="I933" t="s">
        <v>12269</v>
      </c>
      <c r="J933" t="s">
        <v>6125</v>
      </c>
      <c r="K933" t="s">
        <v>74</v>
      </c>
      <c r="L933" t="s">
        <v>74</v>
      </c>
      <c r="M933" t="s">
        <v>77</v>
      </c>
      <c r="N933" t="s">
        <v>103</v>
      </c>
      <c r="O933" t="s">
        <v>74</v>
      </c>
      <c r="P933" t="s">
        <v>74</v>
      </c>
      <c r="Q933" t="s">
        <v>74</v>
      </c>
      <c r="R933" t="s">
        <v>74</v>
      </c>
      <c r="S933" t="s">
        <v>74</v>
      </c>
      <c r="T933" t="s">
        <v>74</v>
      </c>
      <c r="U933" t="s">
        <v>74</v>
      </c>
      <c r="V933" t="s">
        <v>12270</v>
      </c>
      <c r="W933" t="s">
        <v>12271</v>
      </c>
      <c r="X933" t="s">
        <v>12272</v>
      </c>
      <c r="Y933" t="s">
        <v>12273</v>
      </c>
      <c r="Z933" t="s">
        <v>74</v>
      </c>
      <c r="AA933" t="s">
        <v>74</v>
      </c>
      <c r="AB933" t="s">
        <v>74</v>
      </c>
      <c r="AC933" t="s">
        <v>74</v>
      </c>
      <c r="AD933" t="s">
        <v>74</v>
      </c>
      <c r="AE933" t="s">
        <v>74</v>
      </c>
      <c r="AF933" t="s">
        <v>74</v>
      </c>
      <c r="AG933">
        <v>20</v>
      </c>
      <c r="AH933">
        <v>11</v>
      </c>
      <c r="AI933">
        <v>18</v>
      </c>
      <c r="AJ933">
        <v>0</v>
      </c>
      <c r="AK933">
        <v>2</v>
      </c>
      <c r="AL933" t="s">
        <v>12263</v>
      </c>
      <c r="AM933" t="s">
        <v>12264</v>
      </c>
      <c r="AN933" t="s">
        <v>12265</v>
      </c>
      <c r="AO933" t="s">
        <v>6135</v>
      </c>
      <c r="AP933" t="s">
        <v>74</v>
      </c>
      <c r="AQ933" t="s">
        <v>74</v>
      </c>
      <c r="AR933" t="s">
        <v>6137</v>
      </c>
      <c r="AS933" t="s">
        <v>6138</v>
      </c>
      <c r="AT933" t="s">
        <v>12254</v>
      </c>
      <c r="AU933">
        <v>1998</v>
      </c>
      <c r="AV933">
        <v>43</v>
      </c>
      <c r="AW933">
        <v>2</v>
      </c>
      <c r="AX933" t="s">
        <v>74</v>
      </c>
      <c r="AY933" t="s">
        <v>74</v>
      </c>
      <c r="AZ933" t="s">
        <v>74</v>
      </c>
      <c r="BA933" t="s">
        <v>74</v>
      </c>
      <c r="BB933">
        <v>71</v>
      </c>
      <c r="BC933">
        <v>74</v>
      </c>
      <c r="BD933" t="s">
        <v>74</v>
      </c>
      <c r="BE933" t="s">
        <v>74</v>
      </c>
      <c r="BF933" t="s">
        <v>74</v>
      </c>
      <c r="BG933" t="s">
        <v>74</v>
      </c>
      <c r="BH933" t="s">
        <v>74</v>
      </c>
      <c r="BI933">
        <v>4</v>
      </c>
      <c r="BJ933" t="s">
        <v>6140</v>
      </c>
      <c r="BK933" t="s">
        <v>95</v>
      </c>
      <c r="BL933" t="s">
        <v>6140</v>
      </c>
      <c r="BM933" t="s">
        <v>12266</v>
      </c>
      <c r="BN933" t="s">
        <v>74</v>
      </c>
      <c r="BO933" t="s">
        <v>74</v>
      </c>
      <c r="BP933" t="s">
        <v>74</v>
      </c>
      <c r="BQ933" t="s">
        <v>74</v>
      </c>
      <c r="BR933" t="s">
        <v>98</v>
      </c>
      <c r="BS933" t="s">
        <v>12274</v>
      </c>
      <c r="BT933" t="str">
        <f>HYPERLINK("https%3A%2F%2Fwww.webofscience.com%2Fwos%2Fwoscc%2Ffull-record%2FWOS:000074582800003","View Full Record in Web of Science")</f>
        <v>View Full Record in Web of Science</v>
      </c>
    </row>
    <row r="934" spans="1:72" x14ac:dyDescent="0.15">
      <c r="A934" t="s">
        <v>72</v>
      </c>
      <c r="B934" t="s">
        <v>12275</v>
      </c>
      <c r="C934" t="s">
        <v>74</v>
      </c>
      <c r="D934" t="s">
        <v>74</v>
      </c>
      <c r="E934" t="s">
        <v>74</v>
      </c>
      <c r="F934" t="s">
        <v>12275</v>
      </c>
      <c r="G934" t="s">
        <v>74</v>
      </c>
      <c r="H934" t="s">
        <v>74</v>
      </c>
      <c r="I934" t="s">
        <v>12276</v>
      </c>
      <c r="J934" t="s">
        <v>12277</v>
      </c>
      <c r="K934" t="s">
        <v>74</v>
      </c>
      <c r="L934" t="s">
        <v>74</v>
      </c>
      <c r="M934" t="s">
        <v>77</v>
      </c>
      <c r="N934" t="s">
        <v>103</v>
      </c>
      <c r="O934" t="s">
        <v>74</v>
      </c>
      <c r="P934" t="s">
        <v>74</v>
      </c>
      <c r="Q934" t="s">
        <v>74</v>
      </c>
      <c r="R934" t="s">
        <v>74</v>
      </c>
      <c r="S934" t="s">
        <v>74</v>
      </c>
      <c r="T934" t="s">
        <v>12278</v>
      </c>
      <c r="U934" t="s">
        <v>12279</v>
      </c>
      <c r="V934" t="s">
        <v>12280</v>
      </c>
      <c r="W934" t="s">
        <v>12281</v>
      </c>
      <c r="X934" t="s">
        <v>12282</v>
      </c>
      <c r="Y934" t="s">
        <v>12283</v>
      </c>
      <c r="Z934" t="s">
        <v>74</v>
      </c>
      <c r="AA934" t="s">
        <v>74</v>
      </c>
      <c r="AB934" t="s">
        <v>74</v>
      </c>
      <c r="AC934" t="s">
        <v>74</v>
      </c>
      <c r="AD934" t="s">
        <v>74</v>
      </c>
      <c r="AE934" t="s">
        <v>74</v>
      </c>
      <c r="AF934" t="s">
        <v>74</v>
      </c>
      <c r="AG934">
        <v>42</v>
      </c>
      <c r="AH934">
        <v>75</v>
      </c>
      <c r="AI934">
        <v>81</v>
      </c>
      <c r="AJ934">
        <v>1</v>
      </c>
      <c r="AK934">
        <v>8</v>
      </c>
      <c r="AL934" t="s">
        <v>1368</v>
      </c>
      <c r="AM934" t="s">
        <v>866</v>
      </c>
      <c r="AN934" t="s">
        <v>1369</v>
      </c>
      <c r="AO934" t="s">
        <v>12284</v>
      </c>
      <c r="AP934" t="s">
        <v>74</v>
      </c>
      <c r="AQ934" t="s">
        <v>74</v>
      </c>
      <c r="AR934" t="s">
        <v>12285</v>
      </c>
      <c r="AS934" t="s">
        <v>12286</v>
      </c>
      <c r="AT934" t="s">
        <v>12254</v>
      </c>
      <c r="AU934">
        <v>1998</v>
      </c>
      <c r="AV934">
        <v>87</v>
      </c>
      <c r="AW934">
        <v>1</v>
      </c>
      <c r="AX934" t="s">
        <v>74</v>
      </c>
      <c r="AY934" t="s">
        <v>74</v>
      </c>
      <c r="AZ934" t="s">
        <v>74</v>
      </c>
      <c r="BA934" t="s">
        <v>74</v>
      </c>
      <c r="BB934">
        <v>117</v>
      </c>
      <c r="BC934">
        <v>145</v>
      </c>
      <c r="BD934" t="s">
        <v>74</v>
      </c>
      <c r="BE934" t="s">
        <v>12287</v>
      </c>
      <c r="BF934" t="str">
        <f>HYPERLINK("http://dx.doi.org/10.1023/A:1000860406093","http://dx.doi.org/10.1023/A:1000860406093")</f>
        <v>http://dx.doi.org/10.1023/A:1000860406093</v>
      </c>
      <c r="BG934" t="s">
        <v>74</v>
      </c>
      <c r="BH934" t="s">
        <v>74</v>
      </c>
      <c r="BI934">
        <v>29</v>
      </c>
      <c r="BJ934" t="s">
        <v>1418</v>
      </c>
      <c r="BK934" t="s">
        <v>95</v>
      </c>
      <c r="BL934" t="s">
        <v>1418</v>
      </c>
      <c r="BM934" t="s">
        <v>12288</v>
      </c>
      <c r="BN934" t="s">
        <v>74</v>
      </c>
      <c r="BO934" t="s">
        <v>74</v>
      </c>
      <c r="BP934" t="s">
        <v>74</v>
      </c>
      <c r="BQ934" t="s">
        <v>74</v>
      </c>
      <c r="BR934" t="s">
        <v>98</v>
      </c>
      <c r="BS934" t="s">
        <v>12289</v>
      </c>
      <c r="BT934" t="str">
        <f>HYPERLINK("https%3A%2F%2Fwww.webofscience.com%2Fwos%2Fwoscc%2Ffull-record%2FWOS:000073857900006","View Full Record in Web of Science")</f>
        <v>View Full Record in Web of Science</v>
      </c>
    </row>
    <row r="935" spans="1:72" x14ac:dyDescent="0.15">
      <c r="A935" t="s">
        <v>72</v>
      </c>
      <c r="B935" t="s">
        <v>12290</v>
      </c>
      <c r="C935" t="s">
        <v>74</v>
      </c>
      <c r="D935" t="s">
        <v>74</v>
      </c>
      <c r="E935" t="s">
        <v>74</v>
      </c>
      <c r="F935" t="s">
        <v>12290</v>
      </c>
      <c r="G935" t="s">
        <v>74</v>
      </c>
      <c r="H935" t="s">
        <v>74</v>
      </c>
      <c r="I935" t="s">
        <v>12291</v>
      </c>
      <c r="J935" t="s">
        <v>11409</v>
      </c>
      <c r="K935" t="s">
        <v>74</v>
      </c>
      <c r="L935" t="s">
        <v>74</v>
      </c>
      <c r="M935" t="s">
        <v>77</v>
      </c>
      <c r="N935" t="s">
        <v>103</v>
      </c>
      <c r="O935" t="s">
        <v>74</v>
      </c>
      <c r="P935" t="s">
        <v>74</v>
      </c>
      <c r="Q935" t="s">
        <v>74</v>
      </c>
      <c r="R935" t="s">
        <v>74</v>
      </c>
      <c r="S935" t="s">
        <v>74</v>
      </c>
      <c r="T935" t="s">
        <v>74</v>
      </c>
      <c r="U935" t="s">
        <v>12292</v>
      </c>
      <c r="V935" t="s">
        <v>12293</v>
      </c>
      <c r="W935" t="s">
        <v>944</v>
      </c>
      <c r="X935" t="s">
        <v>628</v>
      </c>
      <c r="Y935" t="s">
        <v>6800</v>
      </c>
      <c r="Z935" t="s">
        <v>2009</v>
      </c>
      <c r="AA935" t="s">
        <v>12294</v>
      </c>
      <c r="AB935" t="s">
        <v>12295</v>
      </c>
      <c r="AC935" t="s">
        <v>74</v>
      </c>
      <c r="AD935" t="s">
        <v>74</v>
      </c>
      <c r="AE935" t="s">
        <v>74</v>
      </c>
      <c r="AF935" t="s">
        <v>74</v>
      </c>
      <c r="AG935">
        <v>38</v>
      </c>
      <c r="AH935">
        <v>141</v>
      </c>
      <c r="AI935">
        <v>154</v>
      </c>
      <c r="AJ935">
        <v>0</v>
      </c>
      <c r="AK935">
        <v>21</v>
      </c>
      <c r="AL935" t="s">
        <v>11417</v>
      </c>
      <c r="AM935" t="s">
        <v>257</v>
      </c>
      <c r="AN935" t="s">
        <v>11418</v>
      </c>
      <c r="AO935" t="s">
        <v>11419</v>
      </c>
      <c r="AP935" t="s">
        <v>74</v>
      </c>
      <c r="AQ935" t="s">
        <v>74</v>
      </c>
      <c r="AR935" t="s">
        <v>11420</v>
      </c>
      <c r="AS935" t="s">
        <v>11421</v>
      </c>
      <c r="AT935" t="s">
        <v>12254</v>
      </c>
      <c r="AU935">
        <v>1998</v>
      </c>
      <c r="AV935">
        <v>55</v>
      </c>
      <c r="AW935">
        <v>4</v>
      </c>
      <c r="AX935" t="s">
        <v>74</v>
      </c>
      <c r="AY935" t="s">
        <v>74</v>
      </c>
      <c r="AZ935" t="s">
        <v>74</v>
      </c>
      <c r="BA935" t="s">
        <v>74</v>
      </c>
      <c r="BB935">
        <v>845</v>
      </c>
      <c r="BC935">
        <v>852</v>
      </c>
      <c r="BD935" t="s">
        <v>74</v>
      </c>
      <c r="BE935" t="s">
        <v>12296</v>
      </c>
      <c r="BF935" t="str">
        <f>HYPERLINK("http://dx.doi.org/10.1139/cjfas-55-4-845","http://dx.doi.org/10.1139/cjfas-55-4-845")</f>
        <v>http://dx.doi.org/10.1139/cjfas-55-4-845</v>
      </c>
      <c r="BG935" t="s">
        <v>74</v>
      </c>
      <c r="BH935" t="s">
        <v>74</v>
      </c>
      <c r="BI935">
        <v>8</v>
      </c>
      <c r="BJ935" t="s">
        <v>1445</v>
      </c>
      <c r="BK935" t="s">
        <v>95</v>
      </c>
      <c r="BL935" t="s">
        <v>1445</v>
      </c>
      <c r="BM935" t="s">
        <v>12297</v>
      </c>
      <c r="BN935" t="s">
        <v>74</v>
      </c>
      <c r="BO935" t="s">
        <v>74</v>
      </c>
      <c r="BP935" t="s">
        <v>74</v>
      </c>
      <c r="BQ935" t="s">
        <v>74</v>
      </c>
      <c r="BR935" t="s">
        <v>98</v>
      </c>
      <c r="BS935" t="s">
        <v>12298</v>
      </c>
      <c r="BT935" t="str">
        <f>HYPERLINK("https%3A%2F%2Fwww.webofscience.com%2Fwos%2Fwoscc%2Ffull-record%2FWOS:000074671600008","View Full Record in Web of Science")</f>
        <v>View Full Record in Web of Science</v>
      </c>
    </row>
    <row r="936" spans="1:72" x14ac:dyDescent="0.15">
      <c r="A936" t="s">
        <v>72</v>
      </c>
      <c r="B936" t="s">
        <v>9246</v>
      </c>
      <c r="C936" t="s">
        <v>74</v>
      </c>
      <c r="D936" t="s">
        <v>74</v>
      </c>
      <c r="E936" t="s">
        <v>74</v>
      </c>
      <c r="F936" t="s">
        <v>9246</v>
      </c>
      <c r="G936" t="s">
        <v>74</v>
      </c>
      <c r="H936" t="s">
        <v>74</v>
      </c>
      <c r="I936" t="s">
        <v>12299</v>
      </c>
      <c r="J936" t="s">
        <v>9248</v>
      </c>
      <c r="K936" t="s">
        <v>74</v>
      </c>
      <c r="L936" t="s">
        <v>74</v>
      </c>
      <c r="M936" t="s">
        <v>77</v>
      </c>
      <c r="N936" t="s">
        <v>103</v>
      </c>
      <c r="O936" t="s">
        <v>74</v>
      </c>
      <c r="P936" t="s">
        <v>74</v>
      </c>
      <c r="Q936" t="s">
        <v>74</v>
      </c>
      <c r="R936" t="s">
        <v>74</v>
      </c>
      <c r="S936" t="s">
        <v>74</v>
      </c>
      <c r="T936" t="s">
        <v>74</v>
      </c>
      <c r="U936" t="s">
        <v>12300</v>
      </c>
      <c r="V936" t="s">
        <v>12301</v>
      </c>
      <c r="W936" t="s">
        <v>12302</v>
      </c>
      <c r="X936" t="s">
        <v>9333</v>
      </c>
      <c r="Y936" t="s">
        <v>12303</v>
      </c>
      <c r="Z936" t="s">
        <v>12304</v>
      </c>
      <c r="AA936" t="s">
        <v>12305</v>
      </c>
      <c r="AB936" t="s">
        <v>12306</v>
      </c>
      <c r="AC936" t="s">
        <v>74</v>
      </c>
      <c r="AD936" t="s">
        <v>74</v>
      </c>
      <c r="AE936" t="s">
        <v>74</v>
      </c>
      <c r="AF936" t="s">
        <v>74</v>
      </c>
      <c r="AG936">
        <v>83</v>
      </c>
      <c r="AH936">
        <v>46</v>
      </c>
      <c r="AI936">
        <v>55</v>
      </c>
      <c r="AJ936">
        <v>0</v>
      </c>
      <c r="AK936">
        <v>5</v>
      </c>
      <c r="AL936" t="s">
        <v>805</v>
      </c>
      <c r="AM936" t="s">
        <v>278</v>
      </c>
      <c r="AN936" t="s">
        <v>806</v>
      </c>
      <c r="AO936" t="s">
        <v>9250</v>
      </c>
      <c r="AP936" t="s">
        <v>74</v>
      </c>
      <c r="AQ936" t="s">
        <v>74</v>
      </c>
      <c r="AR936" t="s">
        <v>9251</v>
      </c>
      <c r="AS936" t="s">
        <v>9252</v>
      </c>
      <c r="AT936" t="s">
        <v>12254</v>
      </c>
      <c r="AU936">
        <v>1998</v>
      </c>
      <c r="AV936">
        <v>131</v>
      </c>
      <c r="AW936" t="s">
        <v>1086</v>
      </c>
      <c r="AX936" t="s">
        <v>74</v>
      </c>
      <c r="AY936" t="s">
        <v>74</v>
      </c>
      <c r="AZ936" t="s">
        <v>74</v>
      </c>
      <c r="BA936" t="s">
        <v>74</v>
      </c>
      <c r="BB936">
        <v>289</v>
      </c>
      <c r="BC936">
        <v>305</v>
      </c>
      <c r="BD936" t="s">
        <v>74</v>
      </c>
      <c r="BE936" t="s">
        <v>74</v>
      </c>
      <c r="BF936" t="s">
        <v>74</v>
      </c>
      <c r="BG936" t="s">
        <v>74</v>
      </c>
      <c r="BH936" t="s">
        <v>74</v>
      </c>
      <c r="BI936">
        <v>17</v>
      </c>
      <c r="BJ936" t="s">
        <v>2301</v>
      </c>
      <c r="BK936" t="s">
        <v>95</v>
      </c>
      <c r="BL936" t="s">
        <v>2301</v>
      </c>
      <c r="BM936" t="s">
        <v>12307</v>
      </c>
      <c r="BN936" t="s">
        <v>74</v>
      </c>
      <c r="BO936" t="s">
        <v>74</v>
      </c>
      <c r="BP936" t="s">
        <v>74</v>
      </c>
      <c r="BQ936" t="s">
        <v>74</v>
      </c>
      <c r="BR936" t="s">
        <v>98</v>
      </c>
      <c r="BS936" t="s">
        <v>12308</v>
      </c>
      <c r="BT936" t="str">
        <f>HYPERLINK("https%3A%2F%2Fwww.webofscience.com%2Fwos%2Fwoscc%2Ffull-record%2FWOS:000073805400013","View Full Record in Web of Science")</f>
        <v>View Full Record in Web of Science</v>
      </c>
    </row>
    <row r="937" spans="1:72" x14ac:dyDescent="0.15">
      <c r="A937" t="s">
        <v>72</v>
      </c>
      <c r="B937" t="s">
        <v>12309</v>
      </c>
      <c r="C937" t="s">
        <v>74</v>
      </c>
      <c r="D937" t="s">
        <v>74</v>
      </c>
      <c r="E937" t="s">
        <v>74</v>
      </c>
      <c r="F937" t="s">
        <v>12309</v>
      </c>
      <c r="G937" t="s">
        <v>74</v>
      </c>
      <c r="H937" t="s">
        <v>74</v>
      </c>
      <c r="I937" t="s">
        <v>12310</v>
      </c>
      <c r="J937" t="s">
        <v>6280</v>
      </c>
      <c r="K937" t="s">
        <v>74</v>
      </c>
      <c r="L937" t="s">
        <v>74</v>
      </c>
      <c r="M937" t="s">
        <v>77</v>
      </c>
      <c r="N937" t="s">
        <v>103</v>
      </c>
      <c r="O937" t="s">
        <v>74</v>
      </c>
      <c r="P937" t="s">
        <v>74</v>
      </c>
      <c r="Q937" t="s">
        <v>74</v>
      </c>
      <c r="R937" t="s">
        <v>74</v>
      </c>
      <c r="S937" t="s">
        <v>74</v>
      </c>
      <c r="T937" t="s">
        <v>74</v>
      </c>
      <c r="U937" t="s">
        <v>12311</v>
      </c>
      <c r="V937" t="s">
        <v>12312</v>
      </c>
      <c r="W937" t="s">
        <v>458</v>
      </c>
      <c r="X937" t="s">
        <v>459</v>
      </c>
      <c r="Y937" t="s">
        <v>12313</v>
      </c>
      <c r="Z937" t="s">
        <v>74</v>
      </c>
      <c r="AA937" t="s">
        <v>12314</v>
      </c>
      <c r="AB937" t="s">
        <v>12315</v>
      </c>
      <c r="AC937" t="s">
        <v>74</v>
      </c>
      <c r="AD937" t="s">
        <v>74</v>
      </c>
      <c r="AE937" t="s">
        <v>74</v>
      </c>
      <c r="AF937" t="s">
        <v>74</v>
      </c>
      <c r="AG937">
        <v>38</v>
      </c>
      <c r="AH937">
        <v>58</v>
      </c>
      <c r="AI937">
        <v>65</v>
      </c>
      <c r="AJ937">
        <v>0</v>
      </c>
      <c r="AK937">
        <v>14</v>
      </c>
      <c r="AL937" t="s">
        <v>445</v>
      </c>
      <c r="AM937" t="s">
        <v>229</v>
      </c>
      <c r="AN937" t="s">
        <v>446</v>
      </c>
      <c r="AO937" t="s">
        <v>6289</v>
      </c>
      <c r="AP937" t="s">
        <v>74</v>
      </c>
      <c r="AQ937" t="s">
        <v>74</v>
      </c>
      <c r="AR937" t="s">
        <v>6291</v>
      </c>
      <c r="AS937" t="s">
        <v>6292</v>
      </c>
      <c r="AT937" t="s">
        <v>12316</v>
      </c>
      <c r="AU937">
        <v>1998</v>
      </c>
      <c r="AV937">
        <v>45</v>
      </c>
      <c r="AW937" t="s">
        <v>12317</v>
      </c>
      <c r="AX937" t="s">
        <v>74</v>
      </c>
      <c r="AY937" t="s">
        <v>74</v>
      </c>
      <c r="AZ937" t="s">
        <v>74</v>
      </c>
      <c r="BA937" t="s">
        <v>74</v>
      </c>
      <c r="BB937">
        <v>507</v>
      </c>
      <c r="BC937">
        <v>527</v>
      </c>
      <c r="BD937" t="s">
        <v>74</v>
      </c>
      <c r="BE937" t="s">
        <v>12318</v>
      </c>
      <c r="BF937" t="str">
        <f>HYPERLINK("http://dx.doi.org/10.1016/S0967-0637(97)00030-7","http://dx.doi.org/10.1016/S0967-0637(97)00030-7")</f>
        <v>http://dx.doi.org/10.1016/S0967-0637(97)00030-7</v>
      </c>
      <c r="BG937" t="s">
        <v>74</v>
      </c>
      <c r="BH937" t="s">
        <v>74</v>
      </c>
      <c r="BI937">
        <v>21</v>
      </c>
      <c r="BJ937" t="s">
        <v>451</v>
      </c>
      <c r="BK937" t="s">
        <v>95</v>
      </c>
      <c r="BL937" t="s">
        <v>451</v>
      </c>
      <c r="BM937" t="s">
        <v>12319</v>
      </c>
      <c r="BN937" t="s">
        <v>74</v>
      </c>
      <c r="BO937" t="s">
        <v>483</v>
      </c>
      <c r="BP937" t="s">
        <v>74</v>
      </c>
      <c r="BQ937" t="s">
        <v>74</v>
      </c>
      <c r="BR937" t="s">
        <v>98</v>
      </c>
      <c r="BS937" t="s">
        <v>12320</v>
      </c>
      <c r="BT937" t="str">
        <f>HYPERLINK("https%3A%2F%2Fwww.webofscience.com%2Fwos%2Fwoscc%2Ffull-record%2FWOS:000075153900001","View Full Record in Web of Science")</f>
        <v>View Full Record in Web of Science</v>
      </c>
    </row>
    <row r="938" spans="1:72" x14ac:dyDescent="0.15">
      <c r="A938" t="s">
        <v>72</v>
      </c>
      <c r="B938" t="s">
        <v>12321</v>
      </c>
      <c r="C938" t="s">
        <v>74</v>
      </c>
      <c r="D938" t="s">
        <v>74</v>
      </c>
      <c r="E938" t="s">
        <v>74</v>
      </c>
      <c r="F938" t="s">
        <v>12321</v>
      </c>
      <c r="G938" t="s">
        <v>74</v>
      </c>
      <c r="H938" t="s">
        <v>74</v>
      </c>
      <c r="I938" t="s">
        <v>12322</v>
      </c>
      <c r="J938" t="s">
        <v>8299</v>
      </c>
      <c r="K938" t="s">
        <v>74</v>
      </c>
      <c r="L938" t="s">
        <v>74</v>
      </c>
      <c r="M938" t="s">
        <v>77</v>
      </c>
      <c r="N938" t="s">
        <v>103</v>
      </c>
      <c r="O938" t="s">
        <v>74</v>
      </c>
      <c r="P938" t="s">
        <v>74</v>
      </c>
      <c r="Q938" t="s">
        <v>74</v>
      </c>
      <c r="R938" t="s">
        <v>74</v>
      </c>
      <c r="S938" t="s">
        <v>74</v>
      </c>
      <c r="T938" t="s">
        <v>74</v>
      </c>
      <c r="U938" t="s">
        <v>12323</v>
      </c>
      <c r="V938" t="s">
        <v>12324</v>
      </c>
      <c r="W938" t="s">
        <v>12325</v>
      </c>
      <c r="X938" t="s">
        <v>12326</v>
      </c>
      <c r="Y938" t="s">
        <v>12327</v>
      </c>
      <c r="Z938" t="s">
        <v>74</v>
      </c>
      <c r="AA938" t="s">
        <v>12328</v>
      </c>
      <c r="AB938" t="s">
        <v>12329</v>
      </c>
      <c r="AC938" t="s">
        <v>74</v>
      </c>
      <c r="AD938" t="s">
        <v>74</v>
      </c>
      <c r="AE938" t="s">
        <v>74</v>
      </c>
      <c r="AF938" t="s">
        <v>74</v>
      </c>
      <c r="AG938">
        <v>49</v>
      </c>
      <c r="AH938">
        <v>39</v>
      </c>
      <c r="AI938">
        <v>43</v>
      </c>
      <c r="AJ938">
        <v>0</v>
      </c>
      <c r="AK938">
        <v>11</v>
      </c>
      <c r="AL938" t="s">
        <v>928</v>
      </c>
      <c r="AM938" t="s">
        <v>656</v>
      </c>
      <c r="AN938" t="s">
        <v>657</v>
      </c>
      <c r="AO938" t="s">
        <v>8305</v>
      </c>
      <c r="AP938" t="s">
        <v>8306</v>
      </c>
      <c r="AQ938" t="s">
        <v>74</v>
      </c>
      <c r="AR938" t="s">
        <v>8299</v>
      </c>
      <c r="AS938" t="s">
        <v>8307</v>
      </c>
      <c r="AT938" t="s">
        <v>12254</v>
      </c>
      <c r="AU938">
        <v>1998</v>
      </c>
      <c r="AV938">
        <v>21</v>
      </c>
      <c r="AW938">
        <v>2</v>
      </c>
      <c r="AX938" t="s">
        <v>74</v>
      </c>
      <c r="AY938" t="s">
        <v>74</v>
      </c>
      <c r="AZ938" t="s">
        <v>74</v>
      </c>
      <c r="BA938" t="s">
        <v>74</v>
      </c>
      <c r="BB938">
        <v>212</v>
      </c>
      <c r="BC938">
        <v>223</v>
      </c>
      <c r="BD938" t="s">
        <v>74</v>
      </c>
      <c r="BE938" t="s">
        <v>12330</v>
      </c>
      <c r="BF938" t="str">
        <f>HYPERLINK("http://dx.doi.org/10.1111/j.1600-0587.1998.tb00674.x","http://dx.doi.org/10.1111/j.1600-0587.1998.tb00674.x")</f>
        <v>http://dx.doi.org/10.1111/j.1600-0587.1998.tb00674.x</v>
      </c>
      <c r="BG938" t="s">
        <v>74</v>
      </c>
      <c r="BH938" t="s">
        <v>74</v>
      </c>
      <c r="BI938">
        <v>12</v>
      </c>
      <c r="BJ938" t="s">
        <v>2615</v>
      </c>
      <c r="BK938" t="s">
        <v>95</v>
      </c>
      <c r="BL938" t="s">
        <v>2616</v>
      </c>
      <c r="BM938" t="s">
        <v>12331</v>
      </c>
      <c r="BN938" t="s">
        <v>74</v>
      </c>
      <c r="BO938" t="s">
        <v>74</v>
      </c>
      <c r="BP938" t="s">
        <v>74</v>
      </c>
      <c r="BQ938" t="s">
        <v>74</v>
      </c>
      <c r="BR938" t="s">
        <v>98</v>
      </c>
      <c r="BS938" t="s">
        <v>12332</v>
      </c>
      <c r="BT938" t="str">
        <f>HYPERLINK("https%3A%2F%2Fwww.webofscience.com%2Fwos%2Fwoscc%2Ffull-record%2FWOS:000073403700012","View Full Record in Web of Science")</f>
        <v>View Full Record in Web of Science</v>
      </c>
    </row>
    <row r="939" spans="1:72" x14ac:dyDescent="0.15">
      <c r="A939" t="s">
        <v>72</v>
      </c>
      <c r="B939" t="s">
        <v>12333</v>
      </c>
      <c r="C939" t="s">
        <v>74</v>
      </c>
      <c r="D939" t="s">
        <v>74</v>
      </c>
      <c r="E939" t="s">
        <v>74</v>
      </c>
      <c r="F939" t="s">
        <v>12333</v>
      </c>
      <c r="G939" t="s">
        <v>74</v>
      </c>
      <c r="H939" t="s">
        <v>74</v>
      </c>
      <c r="I939" t="s">
        <v>12334</v>
      </c>
      <c r="J939" t="s">
        <v>12335</v>
      </c>
      <c r="K939" t="s">
        <v>74</v>
      </c>
      <c r="L939" t="s">
        <v>74</v>
      </c>
      <c r="M939" t="s">
        <v>77</v>
      </c>
      <c r="N939" t="s">
        <v>103</v>
      </c>
      <c r="O939" t="s">
        <v>74</v>
      </c>
      <c r="P939" t="s">
        <v>74</v>
      </c>
      <c r="Q939" t="s">
        <v>74</v>
      </c>
      <c r="R939" t="s">
        <v>74</v>
      </c>
      <c r="S939" t="s">
        <v>74</v>
      </c>
      <c r="T939" t="s">
        <v>12336</v>
      </c>
      <c r="U939" t="s">
        <v>12337</v>
      </c>
      <c r="V939" t="s">
        <v>12338</v>
      </c>
      <c r="W939" t="s">
        <v>12339</v>
      </c>
      <c r="X939" t="s">
        <v>74</v>
      </c>
      <c r="Y939" t="s">
        <v>12340</v>
      </c>
      <c r="Z939" t="s">
        <v>12341</v>
      </c>
      <c r="AA939" t="s">
        <v>12342</v>
      </c>
      <c r="AB939" t="s">
        <v>12343</v>
      </c>
      <c r="AC939" t="s">
        <v>74</v>
      </c>
      <c r="AD939" t="s">
        <v>74</v>
      </c>
      <c r="AE939" t="s">
        <v>74</v>
      </c>
      <c r="AF939" t="s">
        <v>74</v>
      </c>
      <c r="AG939">
        <v>34</v>
      </c>
      <c r="AH939">
        <v>56</v>
      </c>
      <c r="AI939">
        <v>61</v>
      </c>
      <c r="AJ939">
        <v>0</v>
      </c>
      <c r="AK939">
        <v>25</v>
      </c>
      <c r="AL939" t="s">
        <v>655</v>
      </c>
      <c r="AM939" t="s">
        <v>656</v>
      </c>
      <c r="AN939" t="s">
        <v>657</v>
      </c>
      <c r="AO939" t="s">
        <v>12344</v>
      </c>
      <c r="AP939" t="s">
        <v>12345</v>
      </c>
      <c r="AQ939" t="s">
        <v>74</v>
      </c>
      <c r="AR939" t="s">
        <v>12346</v>
      </c>
      <c r="AS939" t="s">
        <v>12347</v>
      </c>
      <c r="AT939" t="s">
        <v>12254</v>
      </c>
      <c r="AU939">
        <v>1998</v>
      </c>
      <c r="AV939">
        <v>17</v>
      </c>
      <c r="AW939">
        <v>4</v>
      </c>
      <c r="AX939" t="s">
        <v>74</v>
      </c>
      <c r="AY939" t="s">
        <v>74</v>
      </c>
      <c r="AZ939" t="s">
        <v>74</v>
      </c>
      <c r="BA939" t="s">
        <v>74</v>
      </c>
      <c r="BB939">
        <v>702</v>
      </c>
      <c r="BC939">
        <v>709</v>
      </c>
      <c r="BD939" t="s">
        <v>74</v>
      </c>
      <c r="BE939" t="s">
        <v>12348</v>
      </c>
      <c r="BF939" t="str">
        <f>HYPERLINK("http://dx.doi.org/10.1002/etc.5620170426","http://dx.doi.org/10.1002/etc.5620170426")</f>
        <v>http://dx.doi.org/10.1002/etc.5620170426</v>
      </c>
      <c r="BG939" t="s">
        <v>74</v>
      </c>
      <c r="BH939" t="s">
        <v>74</v>
      </c>
      <c r="BI939">
        <v>8</v>
      </c>
      <c r="BJ939" t="s">
        <v>11373</v>
      </c>
      <c r="BK939" t="s">
        <v>95</v>
      </c>
      <c r="BL939" t="s">
        <v>10416</v>
      </c>
      <c r="BM939" t="s">
        <v>12349</v>
      </c>
      <c r="BN939" t="s">
        <v>74</v>
      </c>
      <c r="BO939" t="s">
        <v>74</v>
      </c>
      <c r="BP939" t="s">
        <v>74</v>
      </c>
      <c r="BQ939" t="s">
        <v>74</v>
      </c>
      <c r="BR939" t="s">
        <v>98</v>
      </c>
      <c r="BS939" t="s">
        <v>12350</v>
      </c>
      <c r="BT939" t="str">
        <f>HYPERLINK("https%3A%2F%2Fwww.webofscience.com%2Fwos%2Fwoscc%2Ffull-record%2FWOS:000072677100026","View Full Record in Web of Science")</f>
        <v>View Full Record in Web of Science</v>
      </c>
    </row>
    <row r="940" spans="1:72" x14ac:dyDescent="0.15">
      <c r="A940" t="s">
        <v>72</v>
      </c>
      <c r="B940" t="s">
        <v>12351</v>
      </c>
      <c r="C940" t="s">
        <v>74</v>
      </c>
      <c r="D940" t="s">
        <v>74</v>
      </c>
      <c r="E940" t="s">
        <v>74</v>
      </c>
      <c r="F940" t="s">
        <v>12351</v>
      </c>
      <c r="G940" t="s">
        <v>74</v>
      </c>
      <c r="H940" t="s">
        <v>74</v>
      </c>
      <c r="I940" t="s">
        <v>12352</v>
      </c>
      <c r="J940" t="s">
        <v>12353</v>
      </c>
      <c r="K940" t="s">
        <v>74</v>
      </c>
      <c r="L940" t="s">
        <v>74</v>
      </c>
      <c r="M940" t="s">
        <v>77</v>
      </c>
      <c r="N940" t="s">
        <v>103</v>
      </c>
      <c r="O940" t="s">
        <v>74</v>
      </c>
      <c r="P940" t="s">
        <v>74</v>
      </c>
      <c r="Q940" t="s">
        <v>74</v>
      </c>
      <c r="R940" t="s">
        <v>74</v>
      </c>
      <c r="S940" t="s">
        <v>74</v>
      </c>
      <c r="T940" t="s">
        <v>12354</v>
      </c>
      <c r="U940" t="s">
        <v>12355</v>
      </c>
      <c r="V940" t="s">
        <v>12356</v>
      </c>
      <c r="W940" t="s">
        <v>12357</v>
      </c>
      <c r="X940" t="s">
        <v>12358</v>
      </c>
      <c r="Y940" t="s">
        <v>12359</v>
      </c>
      <c r="Z940" t="s">
        <v>74</v>
      </c>
      <c r="AA940" t="s">
        <v>74</v>
      </c>
      <c r="AB940" t="s">
        <v>12360</v>
      </c>
      <c r="AC940" t="s">
        <v>74</v>
      </c>
      <c r="AD940" t="s">
        <v>74</v>
      </c>
      <c r="AE940" t="s">
        <v>74</v>
      </c>
      <c r="AF940" t="s">
        <v>74</v>
      </c>
      <c r="AG940">
        <v>12</v>
      </c>
      <c r="AH940">
        <v>4</v>
      </c>
      <c r="AI940">
        <v>4</v>
      </c>
      <c r="AJ940">
        <v>0</v>
      </c>
      <c r="AK940">
        <v>3</v>
      </c>
      <c r="AL940" t="s">
        <v>11494</v>
      </c>
      <c r="AM940" t="s">
        <v>1121</v>
      </c>
      <c r="AN940" t="s">
        <v>11495</v>
      </c>
      <c r="AO940" t="s">
        <v>12361</v>
      </c>
      <c r="AP940" t="s">
        <v>74</v>
      </c>
      <c r="AQ940" t="s">
        <v>74</v>
      </c>
      <c r="AR940" t="s">
        <v>12362</v>
      </c>
      <c r="AS940" t="s">
        <v>12363</v>
      </c>
      <c r="AT940" t="s">
        <v>12254</v>
      </c>
      <c r="AU940">
        <v>1998</v>
      </c>
      <c r="AV940">
        <v>46</v>
      </c>
      <c r="AW940">
        <v>4</v>
      </c>
      <c r="AX940" t="s">
        <v>74</v>
      </c>
      <c r="AY940" t="s">
        <v>74</v>
      </c>
      <c r="AZ940" t="s">
        <v>74</v>
      </c>
      <c r="BA940" t="s">
        <v>74</v>
      </c>
      <c r="BB940">
        <v>523</v>
      </c>
      <c r="BC940">
        <v>529</v>
      </c>
      <c r="BD940" t="s">
        <v>74</v>
      </c>
      <c r="BE940" t="s">
        <v>12364</v>
      </c>
      <c r="BF940" t="str">
        <f>HYPERLINK("http://dx.doi.org/10.1006/ecss.1997.0293","http://dx.doi.org/10.1006/ecss.1997.0293")</f>
        <v>http://dx.doi.org/10.1006/ecss.1997.0293</v>
      </c>
      <c r="BG940" t="s">
        <v>74</v>
      </c>
      <c r="BH940" t="s">
        <v>74</v>
      </c>
      <c r="BI940">
        <v>7</v>
      </c>
      <c r="BJ940" t="s">
        <v>1128</v>
      </c>
      <c r="BK940" t="s">
        <v>95</v>
      </c>
      <c r="BL940" t="s">
        <v>1128</v>
      </c>
      <c r="BM940" t="s">
        <v>12365</v>
      </c>
      <c r="BN940" t="s">
        <v>74</v>
      </c>
      <c r="BO940" t="s">
        <v>74</v>
      </c>
      <c r="BP940" t="s">
        <v>74</v>
      </c>
      <c r="BQ940" t="s">
        <v>74</v>
      </c>
      <c r="BR940" t="s">
        <v>98</v>
      </c>
      <c r="BS940" t="s">
        <v>12366</v>
      </c>
      <c r="BT940" t="str">
        <f>HYPERLINK("https%3A%2F%2Fwww.webofscience.com%2Fwos%2Fwoscc%2Ffull-record%2FWOS:000073433200006","View Full Record in Web of Science")</f>
        <v>View Full Record in Web of Science</v>
      </c>
    </row>
    <row r="941" spans="1:72" x14ac:dyDescent="0.15">
      <c r="A941" t="s">
        <v>72</v>
      </c>
      <c r="B941" t="s">
        <v>12367</v>
      </c>
      <c r="C941" t="s">
        <v>74</v>
      </c>
      <c r="D941" t="s">
        <v>74</v>
      </c>
      <c r="E941" t="s">
        <v>74</v>
      </c>
      <c r="F941" t="s">
        <v>12367</v>
      </c>
      <c r="G941" t="s">
        <v>74</v>
      </c>
      <c r="H941" t="s">
        <v>74</v>
      </c>
      <c r="I941" t="s">
        <v>12368</v>
      </c>
      <c r="J941" t="s">
        <v>12353</v>
      </c>
      <c r="K941" t="s">
        <v>74</v>
      </c>
      <c r="L941" t="s">
        <v>74</v>
      </c>
      <c r="M941" t="s">
        <v>77</v>
      </c>
      <c r="N941" t="s">
        <v>103</v>
      </c>
      <c r="O941" t="s">
        <v>74</v>
      </c>
      <c r="P941" t="s">
        <v>74</v>
      </c>
      <c r="Q941" t="s">
        <v>74</v>
      </c>
      <c r="R941" t="s">
        <v>74</v>
      </c>
      <c r="S941" t="s">
        <v>74</v>
      </c>
      <c r="T941" t="s">
        <v>12369</v>
      </c>
      <c r="U941" t="s">
        <v>12370</v>
      </c>
      <c r="V941" t="s">
        <v>12371</v>
      </c>
      <c r="W941" t="s">
        <v>12372</v>
      </c>
      <c r="X941" t="s">
        <v>12373</v>
      </c>
      <c r="Y941" t="s">
        <v>12374</v>
      </c>
      <c r="Z941" t="s">
        <v>74</v>
      </c>
      <c r="AA941" t="s">
        <v>74</v>
      </c>
      <c r="AB941" t="s">
        <v>74</v>
      </c>
      <c r="AC941" t="s">
        <v>74</v>
      </c>
      <c r="AD941" t="s">
        <v>74</v>
      </c>
      <c r="AE941" t="s">
        <v>74</v>
      </c>
      <c r="AF941" t="s">
        <v>74</v>
      </c>
      <c r="AG941">
        <v>39</v>
      </c>
      <c r="AH941">
        <v>12</v>
      </c>
      <c r="AI941">
        <v>12</v>
      </c>
      <c r="AJ941">
        <v>0</v>
      </c>
      <c r="AK941">
        <v>5</v>
      </c>
      <c r="AL941" t="s">
        <v>11494</v>
      </c>
      <c r="AM941" t="s">
        <v>1121</v>
      </c>
      <c r="AN941" t="s">
        <v>11495</v>
      </c>
      <c r="AO941" t="s">
        <v>12361</v>
      </c>
      <c r="AP941" t="s">
        <v>74</v>
      </c>
      <c r="AQ941" t="s">
        <v>74</v>
      </c>
      <c r="AR941" t="s">
        <v>12362</v>
      </c>
      <c r="AS941" t="s">
        <v>12363</v>
      </c>
      <c r="AT941" t="s">
        <v>12254</v>
      </c>
      <c r="AU941">
        <v>1998</v>
      </c>
      <c r="AV941">
        <v>46</v>
      </c>
      <c r="AW941">
        <v>4</v>
      </c>
      <c r="AX941" t="s">
        <v>74</v>
      </c>
      <c r="AY941" t="s">
        <v>74</v>
      </c>
      <c r="AZ941" t="s">
        <v>74</v>
      </c>
      <c r="BA941" t="s">
        <v>74</v>
      </c>
      <c r="BB941">
        <v>565</v>
      </c>
      <c r="BC941">
        <v>572</v>
      </c>
      <c r="BD941" t="s">
        <v>74</v>
      </c>
      <c r="BE941" t="s">
        <v>12375</v>
      </c>
      <c r="BF941" t="str">
        <f>HYPERLINK("http://dx.doi.org/10.1006/ecss.1997.0300","http://dx.doi.org/10.1006/ecss.1997.0300")</f>
        <v>http://dx.doi.org/10.1006/ecss.1997.0300</v>
      </c>
      <c r="BG941" t="s">
        <v>74</v>
      </c>
      <c r="BH941" t="s">
        <v>74</v>
      </c>
      <c r="BI941">
        <v>8</v>
      </c>
      <c r="BJ941" t="s">
        <v>1128</v>
      </c>
      <c r="BK941" t="s">
        <v>95</v>
      </c>
      <c r="BL941" t="s">
        <v>1128</v>
      </c>
      <c r="BM941" t="s">
        <v>12365</v>
      </c>
      <c r="BN941" t="s">
        <v>74</v>
      </c>
      <c r="BO941" t="s">
        <v>74</v>
      </c>
      <c r="BP941" t="s">
        <v>74</v>
      </c>
      <c r="BQ941" t="s">
        <v>74</v>
      </c>
      <c r="BR941" t="s">
        <v>98</v>
      </c>
      <c r="BS941" t="s">
        <v>12376</v>
      </c>
      <c r="BT941" t="str">
        <f>HYPERLINK("https%3A%2F%2Fwww.webofscience.com%2Fwos%2Fwoscc%2Ffull-record%2FWOS:000073433200009","View Full Record in Web of Science")</f>
        <v>View Full Record in Web of Science</v>
      </c>
    </row>
    <row r="942" spans="1:72" x14ac:dyDescent="0.15">
      <c r="A942" t="s">
        <v>72</v>
      </c>
      <c r="B942" t="s">
        <v>12377</v>
      </c>
      <c r="C942" t="s">
        <v>74</v>
      </c>
      <c r="D942" t="s">
        <v>74</v>
      </c>
      <c r="E942" t="s">
        <v>74</v>
      </c>
      <c r="F942" t="s">
        <v>12377</v>
      </c>
      <c r="G942" t="s">
        <v>74</v>
      </c>
      <c r="H942" t="s">
        <v>74</v>
      </c>
      <c r="I942" t="s">
        <v>12378</v>
      </c>
      <c r="J942" t="s">
        <v>8998</v>
      </c>
      <c r="K942" t="s">
        <v>74</v>
      </c>
      <c r="L942" t="s">
        <v>74</v>
      </c>
      <c r="M942" t="s">
        <v>77</v>
      </c>
      <c r="N942" t="s">
        <v>103</v>
      </c>
      <c r="O942" t="s">
        <v>74</v>
      </c>
      <c r="P942" t="s">
        <v>74</v>
      </c>
      <c r="Q942" t="s">
        <v>74</v>
      </c>
      <c r="R942" t="s">
        <v>74</v>
      </c>
      <c r="S942" t="s">
        <v>74</v>
      </c>
      <c r="T942" t="s">
        <v>12379</v>
      </c>
      <c r="U942" t="s">
        <v>12380</v>
      </c>
      <c r="V942" t="s">
        <v>12381</v>
      </c>
      <c r="W942" t="s">
        <v>6468</v>
      </c>
      <c r="X942" t="s">
        <v>6469</v>
      </c>
      <c r="Y942" t="s">
        <v>6470</v>
      </c>
      <c r="Z942" t="s">
        <v>6471</v>
      </c>
      <c r="AA942" t="s">
        <v>74</v>
      </c>
      <c r="AB942" t="s">
        <v>5777</v>
      </c>
      <c r="AC942" t="s">
        <v>74</v>
      </c>
      <c r="AD942" t="s">
        <v>74</v>
      </c>
      <c r="AE942" t="s">
        <v>74</v>
      </c>
      <c r="AF942" t="s">
        <v>74</v>
      </c>
      <c r="AG942">
        <v>34</v>
      </c>
      <c r="AH942">
        <v>18</v>
      </c>
      <c r="AI942">
        <v>21</v>
      </c>
      <c r="AJ942">
        <v>2</v>
      </c>
      <c r="AK942">
        <v>4</v>
      </c>
      <c r="AL942" t="s">
        <v>4439</v>
      </c>
      <c r="AM942" t="s">
        <v>229</v>
      </c>
      <c r="AN942" t="s">
        <v>4440</v>
      </c>
      <c r="AO942" t="s">
        <v>9006</v>
      </c>
      <c r="AP942" t="s">
        <v>9007</v>
      </c>
      <c r="AQ942" t="s">
        <v>74</v>
      </c>
      <c r="AR942" t="s">
        <v>9008</v>
      </c>
      <c r="AS942" t="s">
        <v>9009</v>
      </c>
      <c r="AT942" t="s">
        <v>12382</v>
      </c>
      <c r="AU942">
        <v>1998</v>
      </c>
      <c r="AV942">
        <v>161</v>
      </c>
      <c r="AW942">
        <v>1</v>
      </c>
      <c r="AX942" t="s">
        <v>74</v>
      </c>
      <c r="AY942" t="s">
        <v>74</v>
      </c>
      <c r="AZ942" t="s">
        <v>74</v>
      </c>
      <c r="BA942" t="s">
        <v>74</v>
      </c>
      <c r="BB942">
        <v>7</v>
      </c>
      <c r="BC942">
        <v>14</v>
      </c>
      <c r="BD942" t="s">
        <v>74</v>
      </c>
      <c r="BE942" t="s">
        <v>12383</v>
      </c>
      <c r="BF942" t="str">
        <f>HYPERLINK("http://dx.doi.org/10.1111/j.1574-6968.1998.tb12922.x","http://dx.doi.org/10.1111/j.1574-6968.1998.tb12922.x")</f>
        <v>http://dx.doi.org/10.1111/j.1574-6968.1998.tb12922.x</v>
      </c>
      <c r="BG942" t="s">
        <v>74</v>
      </c>
      <c r="BH942" t="s">
        <v>74</v>
      </c>
      <c r="BI942">
        <v>8</v>
      </c>
      <c r="BJ942" t="s">
        <v>5766</v>
      </c>
      <c r="BK942" t="s">
        <v>95</v>
      </c>
      <c r="BL942" t="s">
        <v>5766</v>
      </c>
      <c r="BM942" t="s">
        <v>12384</v>
      </c>
      <c r="BN942">
        <v>9561727</v>
      </c>
      <c r="BO942" t="s">
        <v>1089</v>
      </c>
      <c r="BP942" t="s">
        <v>74</v>
      </c>
      <c r="BQ942" t="s">
        <v>74</v>
      </c>
      <c r="BR942" t="s">
        <v>98</v>
      </c>
      <c r="BS942" t="s">
        <v>12385</v>
      </c>
      <c r="BT942" t="str">
        <f>HYPERLINK("https%3A%2F%2Fwww.webofscience.com%2Fwos%2Fwoscc%2Ffull-record%2FWOS:000072858000002","View Full Record in Web of Science")</f>
        <v>View Full Record in Web of Science</v>
      </c>
    </row>
    <row r="943" spans="1:72" x14ac:dyDescent="0.15">
      <c r="A943" t="s">
        <v>72</v>
      </c>
      <c r="B943" t="s">
        <v>12386</v>
      </c>
      <c r="C943" t="s">
        <v>74</v>
      </c>
      <c r="D943" t="s">
        <v>74</v>
      </c>
      <c r="E943" t="s">
        <v>74</v>
      </c>
      <c r="F943" t="s">
        <v>12386</v>
      </c>
      <c r="G943" t="s">
        <v>74</v>
      </c>
      <c r="H943" t="s">
        <v>74</v>
      </c>
      <c r="I943" t="s">
        <v>12387</v>
      </c>
      <c r="J943" t="s">
        <v>5218</v>
      </c>
      <c r="K943" t="s">
        <v>74</v>
      </c>
      <c r="L943" t="s">
        <v>74</v>
      </c>
      <c r="M943" t="s">
        <v>77</v>
      </c>
      <c r="N943" t="s">
        <v>103</v>
      </c>
      <c r="O943" t="s">
        <v>74</v>
      </c>
      <c r="P943" t="s">
        <v>74</v>
      </c>
      <c r="Q943" t="s">
        <v>74</v>
      </c>
      <c r="R943" t="s">
        <v>74</v>
      </c>
      <c r="S943" t="s">
        <v>74</v>
      </c>
      <c r="T943" t="s">
        <v>74</v>
      </c>
      <c r="U943" t="s">
        <v>12388</v>
      </c>
      <c r="V943" t="s">
        <v>12389</v>
      </c>
      <c r="W943" t="s">
        <v>12390</v>
      </c>
      <c r="X943" t="s">
        <v>12391</v>
      </c>
      <c r="Y943" t="s">
        <v>12392</v>
      </c>
      <c r="Z943" t="s">
        <v>74</v>
      </c>
      <c r="AA943" t="s">
        <v>74</v>
      </c>
      <c r="AB943" t="s">
        <v>74</v>
      </c>
      <c r="AC943" t="s">
        <v>74</v>
      </c>
      <c r="AD943" t="s">
        <v>74</v>
      </c>
      <c r="AE943" t="s">
        <v>74</v>
      </c>
      <c r="AF943" t="s">
        <v>74</v>
      </c>
      <c r="AG943">
        <v>25</v>
      </c>
      <c r="AH943">
        <v>41</v>
      </c>
      <c r="AI943">
        <v>46</v>
      </c>
      <c r="AJ943">
        <v>0</v>
      </c>
      <c r="AK943">
        <v>3</v>
      </c>
      <c r="AL943" t="s">
        <v>5221</v>
      </c>
      <c r="AM943" t="s">
        <v>5222</v>
      </c>
      <c r="AN943" t="s">
        <v>5223</v>
      </c>
      <c r="AO943" t="s">
        <v>5224</v>
      </c>
      <c r="AP943" t="s">
        <v>74</v>
      </c>
      <c r="AQ943" t="s">
        <v>74</v>
      </c>
      <c r="AR943" t="s">
        <v>5218</v>
      </c>
      <c r="AS943" t="s">
        <v>193</v>
      </c>
      <c r="AT943" t="s">
        <v>12254</v>
      </c>
      <c r="AU943">
        <v>1998</v>
      </c>
      <c r="AV943">
        <v>26</v>
      </c>
      <c r="AW943">
        <v>4</v>
      </c>
      <c r="AX943" t="s">
        <v>74</v>
      </c>
      <c r="AY943" t="s">
        <v>74</v>
      </c>
      <c r="AZ943" t="s">
        <v>74</v>
      </c>
      <c r="BA943" t="s">
        <v>74</v>
      </c>
      <c r="BB943">
        <v>363</v>
      </c>
      <c r="BC943">
        <v>366</v>
      </c>
      <c r="BD943" t="s">
        <v>74</v>
      </c>
      <c r="BE943" t="s">
        <v>12393</v>
      </c>
      <c r="BF943" t="str">
        <f>HYPERLINK("http://dx.doi.org/10.1130/0091-7613(1998)026&lt;0363:SLHTPY&gt;2.3.CO;2","http://dx.doi.org/10.1130/0091-7613(1998)026&lt;0363:SLHTPY&gt;2.3.CO;2")</f>
        <v>http://dx.doi.org/10.1130/0091-7613(1998)026&lt;0363:SLHTPY&gt;2.3.CO;2</v>
      </c>
      <c r="BG943" t="s">
        <v>74</v>
      </c>
      <c r="BH943" t="s">
        <v>74</v>
      </c>
      <c r="BI943">
        <v>4</v>
      </c>
      <c r="BJ943" t="s">
        <v>193</v>
      </c>
      <c r="BK943" t="s">
        <v>95</v>
      </c>
      <c r="BL943" t="s">
        <v>193</v>
      </c>
      <c r="BM943" t="s">
        <v>12394</v>
      </c>
      <c r="BN943" t="s">
        <v>74</v>
      </c>
      <c r="BO943" t="s">
        <v>74</v>
      </c>
      <c r="BP943" t="s">
        <v>74</v>
      </c>
      <c r="BQ943" t="s">
        <v>74</v>
      </c>
      <c r="BR943" t="s">
        <v>98</v>
      </c>
      <c r="BS943" t="s">
        <v>12395</v>
      </c>
      <c r="BT943" t="str">
        <f>HYPERLINK("https%3A%2F%2Fwww.webofscience.com%2Fwos%2Fwoscc%2Ffull-record%2FWOS:000073061500019","View Full Record in Web of Science")</f>
        <v>View Full Record in Web of Science</v>
      </c>
    </row>
    <row r="944" spans="1:72" x14ac:dyDescent="0.15">
      <c r="A944" t="s">
        <v>72</v>
      </c>
      <c r="B944" t="s">
        <v>12396</v>
      </c>
      <c r="C944" t="s">
        <v>74</v>
      </c>
      <c r="D944" t="s">
        <v>74</v>
      </c>
      <c r="E944" t="s">
        <v>74</v>
      </c>
      <c r="F944" t="s">
        <v>12396</v>
      </c>
      <c r="G944" t="s">
        <v>74</v>
      </c>
      <c r="H944" t="s">
        <v>74</v>
      </c>
      <c r="I944" t="s">
        <v>12397</v>
      </c>
      <c r="J944" t="s">
        <v>7489</v>
      </c>
      <c r="K944" t="s">
        <v>74</v>
      </c>
      <c r="L944" t="s">
        <v>74</v>
      </c>
      <c r="M944" t="s">
        <v>77</v>
      </c>
      <c r="N944" t="s">
        <v>103</v>
      </c>
      <c r="O944" t="s">
        <v>74</v>
      </c>
      <c r="P944" t="s">
        <v>74</v>
      </c>
      <c r="Q944" t="s">
        <v>74</v>
      </c>
      <c r="R944" t="s">
        <v>74</v>
      </c>
      <c r="S944" t="s">
        <v>74</v>
      </c>
      <c r="T944" t="s">
        <v>12398</v>
      </c>
      <c r="U944" t="s">
        <v>12399</v>
      </c>
      <c r="V944" t="s">
        <v>12400</v>
      </c>
      <c r="W944" t="s">
        <v>12401</v>
      </c>
      <c r="X944" t="s">
        <v>12402</v>
      </c>
      <c r="Y944" t="s">
        <v>12403</v>
      </c>
      <c r="Z944" t="s">
        <v>74</v>
      </c>
      <c r="AA944" t="s">
        <v>74</v>
      </c>
      <c r="AB944" t="s">
        <v>74</v>
      </c>
      <c r="AC944" t="s">
        <v>74</v>
      </c>
      <c r="AD944" t="s">
        <v>74</v>
      </c>
      <c r="AE944" t="s">
        <v>74</v>
      </c>
      <c r="AF944" t="s">
        <v>74</v>
      </c>
      <c r="AG944">
        <v>38</v>
      </c>
      <c r="AH944">
        <v>247</v>
      </c>
      <c r="AI944">
        <v>263</v>
      </c>
      <c r="AJ944">
        <v>1</v>
      </c>
      <c r="AK944">
        <v>14</v>
      </c>
      <c r="AL944" t="s">
        <v>1716</v>
      </c>
      <c r="AM944" t="s">
        <v>229</v>
      </c>
      <c r="AN944" t="s">
        <v>1717</v>
      </c>
      <c r="AO944" t="s">
        <v>7498</v>
      </c>
      <c r="AP944" t="s">
        <v>74</v>
      </c>
      <c r="AQ944" t="s">
        <v>74</v>
      </c>
      <c r="AR944" t="s">
        <v>7499</v>
      </c>
      <c r="AS944" t="s">
        <v>7500</v>
      </c>
      <c r="AT944" t="s">
        <v>12254</v>
      </c>
      <c r="AU944">
        <v>1998</v>
      </c>
      <c r="AV944">
        <v>133</v>
      </c>
      <c r="AW944">
        <v>1</v>
      </c>
      <c r="AX944" t="s">
        <v>74</v>
      </c>
      <c r="AY944" t="s">
        <v>74</v>
      </c>
      <c r="AZ944" t="s">
        <v>74</v>
      </c>
      <c r="BA944" t="s">
        <v>74</v>
      </c>
      <c r="BB944">
        <v>1</v>
      </c>
      <c r="BC944">
        <v>19</v>
      </c>
      <c r="BD944" t="s">
        <v>74</v>
      </c>
      <c r="BE944" t="s">
        <v>12404</v>
      </c>
      <c r="BF944" t="str">
        <f>HYPERLINK("http://dx.doi.org/10.1046/j.1365-246X.1998.1331455.x","http://dx.doi.org/10.1046/j.1365-246X.1998.1331455.x")</f>
        <v>http://dx.doi.org/10.1046/j.1365-246X.1998.1331455.x</v>
      </c>
      <c r="BG944" t="s">
        <v>74</v>
      </c>
      <c r="BH944" t="s">
        <v>74</v>
      </c>
      <c r="BI944">
        <v>19</v>
      </c>
      <c r="BJ944" t="s">
        <v>303</v>
      </c>
      <c r="BK944" t="s">
        <v>95</v>
      </c>
      <c r="BL944" t="s">
        <v>303</v>
      </c>
      <c r="BM944" t="s">
        <v>12405</v>
      </c>
      <c r="BN944" t="s">
        <v>74</v>
      </c>
      <c r="BO944" t="s">
        <v>1089</v>
      </c>
      <c r="BP944" t="s">
        <v>74</v>
      </c>
      <c r="BQ944" t="s">
        <v>74</v>
      </c>
      <c r="BR944" t="s">
        <v>98</v>
      </c>
      <c r="BS944" t="s">
        <v>12406</v>
      </c>
      <c r="BT944" t="str">
        <f>HYPERLINK("https%3A%2F%2Fwww.webofscience.com%2Fwos%2Fwoscc%2Ffull-record%2FWOS:000073112600004","View Full Record in Web of Science")</f>
        <v>View Full Record in Web of Science</v>
      </c>
    </row>
    <row r="945" spans="1:72" x14ac:dyDescent="0.15">
      <c r="A945" t="s">
        <v>72</v>
      </c>
      <c r="B945" t="s">
        <v>12407</v>
      </c>
      <c r="C945" t="s">
        <v>74</v>
      </c>
      <c r="D945" t="s">
        <v>74</v>
      </c>
      <c r="E945" t="s">
        <v>74</v>
      </c>
      <c r="F945" t="s">
        <v>12407</v>
      </c>
      <c r="G945" t="s">
        <v>74</v>
      </c>
      <c r="H945" t="s">
        <v>74</v>
      </c>
      <c r="I945" t="s">
        <v>12408</v>
      </c>
      <c r="J945" t="s">
        <v>958</v>
      </c>
      <c r="K945" t="s">
        <v>74</v>
      </c>
      <c r="L945" t="s">
        <v>74</v>
      </c>
      <c r="M945" t="s">
        <v>77</v>
      </c>
      <c r="N945" t="s">
        <v>103</v>
      </c>
      <c r="O945" t="s">
        <v>74</v>
      </c>
      <c r="P945" t="s">
        <v>74</v>
      </c>
      <c r="Q945" t="s">
        <v>74</v>
      </c>
      <c r="R945" t="s">
        <v>74</v>
      </c>
      <c r="S945" t="s">
        <v>74</v>
      </c>
      <c r="T945" t="s">
        <v>74</v>
      </c>
      <c r="U945" t="s">
        <v>12409</v>
      </c>
      <c r="V945" t="s">
        <v>12410</v>
      </c>
      <c r="W945" t="s">
        <v>12048</v>
      </c>
      <c r="X945" t="s">
        <v>6077</v>
      </c>
      <c r="Y945" t="s">
        <v>12411</v>
      </c>
      <c r="Z945" t="s">
        <v>74</v>
      </c>
      <c r="AA945" t="s">
        <v>74</v>
      </c>
      <c r="AB945" t="s">
        <v>74</v>
      </c>
      <c r="AC945" t="s">
        <v>74</v>
      </c>
      <c r="AD945" t="s">
        <v>74</v>
      </c>
      <c r="AE945" t="s">
        <v>74</v>
      </c>
      <c r="AF945" t="s">
        <v>74</v>
      </c>
      <c r="AG945">
        <v>19</v>
      </c>
      <c r="AH945">
        <v>9</v>
      </c>
      <c r="AI945">
        <v>9</v>
      </c>
      <c r="AJ945">
        <v>0</v>
      </c>
      <c r="AK945">
        <v>2</v>
      </c>
      <c r="AL945" t="s">
        <v>966</v>
      </c>
      <c r="AM945" t="s">
        <v>967</v>
      </c>
      <c r="AN945" t="s">
        <v>968</v>
      </c>
      <c r="AO945" t="s">
        <v>969</v>
      </c>
      <c r="AP945" t="s">
        <v>74</v>
      </c>
      <c r="AQ945" t="s">
        <v>74</v>
      </c>
      <c r="AR945" t="s">
        <v>970</v>
      </c>
      <c r="AS945" t="s">
        <v>971</v>
      </c>
      <c r="AT945" t="s">
        <v>12382</v>
      </c>
      <c r="AU945">
        <v>1998</v>
      </c>
      <c r="AV945">
        <v>25</v>
      </c>
      <c r="AW945">
        <v>7</v>
      </c>
      <c r="AX945" t="s">
        <v>74</v>
      </c>
      <c r="AY945" t="s">
        <v>74</v>
      </c>
      <c r="AZ945" t="s">
        <v>74</v>
      </c>
      <c r="BA945" t="s">
        <v>74</v>
      </c>
      <c r="BB945">
        <v>1007</v>
      </c>
      <c r="BC945">
        <v>1010</v>
      </c>
      <c r="BD945" t="s">
        <v>74</v>
      </c>
      <c r="BE945" t="s">
        <v>12412</v>
      </c>
      <c r="BF945" t="str">
        <f>HYPERLINK("http://dx.doi.org/10.1029/98GL00723","http://dx.doi.org/10.1029/98GL00723")</f>
        <v>http://dx.doi.org/10.1029/98GL00723</v>
      </c>
      <c r="BG945" t="s">
        <v>74</v>
      </c>
      <c r="BH945" t="s">
        <v>74</v>
      </c>
      <c r="BI945">
        <v>4</v>
      </c>
      <c r="BJ945" t="s">
        <v>192</v>
      </c>
      <c r="BK945" t="s">
        <v>95</v>
      </c>
      <c r="BL945" t="s">
        <v>193</v>
      </c>
      <c r="BM945" t="s">
        <v>12413</v>
      </c>
      <c r="BN945" t="s">
        <v>74</v>
      </c>
      <c r="BO945" t="s">
        <v>74</v>
      </c>
      <c r="BP945" t="s">
        <v>74</v>
      </c>
      <c r="BQ945" t="s">
        <v>74</v>
      </c>
      <c r="BR945" t="s">
        <v>98</v>
      </c>
      <c r="BS945" t="s">
        <v>12414</v>
      </c>
      <c r="BT945" t="str">
        <f>HYPERLINK("https%3A%2F%2Fwww.webofscience.com%2Fwos%2Fwoscc%2Ffull-record%2FWOS:000072815400019","View Full Record in Web of Science")</f>
        <v>View Full Record in Web of Science</v>
      </c>
    </row>
    <row r="946" spans="1:72" x14ac:dyDescent="0.15">
      <c r="A946" t="s">
        <v>72</v>
      </c>
      <c r="B946" t="s">
        <v>12415</v>
      </c>
      <c r="C946" t="s">
        <v>74</v>
      </c>
      <c r="D946" t="s">
        <v>74</v>
      </c>
      <c r="E946" t="s">
        <v>74</v>
      </c>
      <c r="F946" t="s">
        <v>12415</v>
      </c>
      <c r="G946" t="s">
        <v>74</v>
      </c>
      <c r="H946" t="s">
        <v>74</v>
      </c>
      <c r="I946" t="s">
        <v>12416</v>
      </c>
      <c r="J946" t="s">
        <v>958</v>
      </c>
      <c r="K946" t="s">
        <v>74</v>
      </c>
      <c r="L946" t="s">
        <v>74</v>
      </c>
      <c r="M946" t="s">
        <v>77</v>
      </c>
      <c r="N946" t="s">
        <v>103</v>
      </c>
      <c r="O946" t="s">
        <v>74</v>
      </c>
      <c r="P946" t="s">
        <v>74</v>
      </c>
      <c r="Q946" t="s">
        <v>74</v>
      </c>
      <c r="R946" t="s">
        <v>74</v>
      </c>
      <c r="S946" t="s">
        <v>74</v>
      </c>
      <c r="T946" t="s">
        <v>74</v>
      </c>
      <c r="U946" t="s">
        <v>7607</v>
      </c>
      <c r="V946" t="s">
        <v>12417</v>
      </c>
      <c r="W946" t="s">
        <v>12418</v>
      </c>
      <c r="X946" t="s">
        <v>12419</v>
      </c>
      <c r="Y946" t="s">
        <v>12420</v>
      </c>
      <c r="Z946" t="s">
        <v>74</v>
      </c>
      <c r="AA946" t="s">
        <v>12421</v>
      </c>
      <c r="AB946" t="s">
        <v>12422</v>
      </c>
      <c r="AC946" t="s">
        <v>74</v>
      </c>
      <c r="AD946" t="s">
        <v>74</v>
      </c>
      <c r="AE946" t="s">
        <v>74</v>
      </c>
      <c r="AF946" t="s">
        <v>74</v>
      </c>
      <c r="AG946">
        <v>16</v>
      </c>
      <c r="AH946">
        <v>33</v>
      </c>
      <c r="AI946">
        <v>39</v>
      </c>
      <c r="AJ946">
        <v>0</v>
      </c>
      <c r="AK946">
        <v>3</v>
      </c>
      <c r="AL946" t="s">
        <v>966</v>
      </c>
      <c r="AM946" t="s">
        <v>967</v>
      </c>
      <c r="AN946" t="s">
        <v>968</v>
      </c>
      <c r="AO946" t="s">
        <v>969</v>
      </c>
      <c r="AP946" t="s">
        <v>74</v>
      </c>
      <c r="AQ946" t="s">
        <v>74</v>
      </c>
      <c r="AR946" t="s">
        <v>970</v>
      </c>
      <c r="AS946" t="s">
        <v>971</v>
      </c>
      <c r="AT946" t="s">
        <v>12382</v>
      </c>
      <c r="AU946">
        <v>1998</v>
      </c>
      <c r="AV946">
        <v>25</v>
      </c>
      <c r="AW946">
        <v>7</v>
      </c>
      <c r="AX946" t="s">
        <v>74</v>
      </c>
      <c r="AY946" t="s">
        <v>74</v>
      </c>
      <c r="AZ946" t="s">
        <v>74</v>
      </c>
      <c r="BA946" t="s">
        <v>74</v>
      </c>
      <c r="BB946">
        <v>1019</v>
      </c>
      <c r="BC946">
        <v>1022</v>
      </c>
      <c r="BD946" t="s">
        <v>74</v>
      </c>
      <c r="BE946" t="s">
        <v>12423</v>
      </c>
      <c r="BF946" t="str">
        <f>HYPERLINK("http://dx.doi.org/10.1029/98GL00718","http://dx.doi.org/10.1029/98GL00718")</f>
        <v>http://dx.doi.org/10.1029/98GL00718</v>
      </c>
      <c r="BG946" t="s">
        <v>74</v>
      </c>
      <c r="BH946" t="s">
        <v>74</v>
      </c>
      <c r="BI946">
        <v>4</v>
      </c>
      <c r="BJ946" t="s">
        <v>192</v>
      </c>
      <c r="BK946" t="s">
        <v>95</v>
      </c>
      <c r="BL946" t="s">
        <v>193</v>
      </c>
      <c r="BM946" t="s">
        <v>12413</v>
      </c>
      <c r="BN946" t="s">
        <v>74</v>
      </c>
      <c r="BO946" t="s">
        <v>1089</v>
      </c>
      <c r="BP946" t="s">
        <v>74</v>
      </c>
      <c r="BQ946" t="s">
        <v>74</v>
      </c>
      <c r="BR946" t="s">
        <v>98</v>
      </c>
      <c r="BS946" t="s">
        <v>12424</v>
      </c>
      <c r="BT946" t="str">
        <f>HYPERLINK("https%3A%2F%2Fwww.webofscience.com%2Fwos%2Fwoscc%2Ffull-record%2FWOS:000072815400022","View Full Record in Web of Science")</f>
        <v>View Full Record in Web of Science</v>
      </c>
    </row>
    <row r="947" spans="1:72" x14ac:dyDescent="0.15">
      <c r="A947" t="s">
        <v>72</v>
      </c>
      <c r="B947" t="s">
        <v>12425</v>
      </c>
      <c r="C947" t="s">
        <v>74</v>
      </c>
      <c r="D947" t="s">
        <v>74</v>
      </c>
      <c r="E947" t="s">
        <v>74</v>
      </c>
      <c r="F947" t="s">
        <v>12425</v>
      </c>
      <c r="G947" t="s">
        <v>74</v>
      </c>
      <c r="H947" t="s">
        <v>74</v>
      </c>
      <c r="I947" t="s">
        <v>12426</v>
      </c>
      <c r="J947" t="s">
        <v>9405</v>
      </c>
      <c r="K947" t="s">
        <v>74</v>
      </c>
      <c r="L947" t="s">
        <v>74</v>
      </c>
      <c r="M947" t="s">
        <v>77</v>
      </c>
      <c r="N947" t="s">
        <v>103</v>
      </c>
      <c r="O947" t="s">
        <v>74</v>
      </c>
      <c r="P947" t="s">
        <v>74</v>
      </c>
      <c r="Q947" t="s">
        <v>74</v>
      </c>
      <c r="R947" t="s">
        <v>74</v>
      </c>
      <c r="S947" t="s">
        <v>74</v>
      </c>
      <c r="T947" t="s">
        <v>74</v>
      </c>
      <c r="U947" t="s">
        <v>12427</v>
      </c>
      <c r="V947" t="s">
        <v>12428</v>
      </c>
      <c r="W947" t="s">
        <v>944</v>
      </c>
      <c r="X947" t="s">
        <v>628</v>
      </c>
      <c r="Y947" t="s">
        <v>6721</v>
      </c>
      <c r="Z947" t="s">
        <v>74</v>
      </c>
      <c r="AA947" t="s">
        <v>1738</v>
      </c>
      <c r="AB947" t="s">
        <v>74</v>
      </c>
      <c r="AC947" t="s">
        <v>74</v>
      </c>
      <c r="AD947" t="s">
        <v>74</v>
      </c>
      <c r="AE947" t="s">
        <v>74</v>
      </c>
      <c r="AF947" t="s">
        <v>74</v>
      </c>
      <c r="AG947">
        <v>27</v>
      </c>
      <c r="AH947">
        <v>23</v>
      </c>
      <c r="AI947">
        <v>24</v>
      </c>
      <c r="AJ947">
        <v>1</v>
      </c>
      <c r="AK947">
        <v>7</v>
      </c>
      <c r="AL947" t="s">
        <v>9411</v>
      </c>
      <c r="AM947" t="s">
        <v>9412</v>
      </c>
      <c r="AN947" t="s">
        <v>9413</v>
      </c>
      <c r="AO947" t="s">
        <v>9414</v>
      </c>
      <c r="AP947" t="s">
        <v>74</v>
      </c>
      <c r="AQ947" t="s">
        <v>74</v>
      </c>
      <c r="AR947" t="s">
        <v>9405</v>
      </c>
      <c r="AS947" t="s">
        <v>9415</v>
      </c>
      <c r="AT947" t="s">
        <v>12254</v>
      </c>
      <c r="AU947">
        <v>1998</v>
      </c>
      <c r="AV947">
        <v>140</v>
      </c>
      <c r="AW947">
        <v>2</v>
      </c>
      <c r="AX947" t="s">
        <v>74</v>
      </c>
      <c r="AY947" t="s">
        <v>74</v>
      </c>
      <c r="AZ947" t="s">
        <v>74</v>
      </c>
      <c r="BA947" t="s">
        <v>74</v>
      </c>
      <c r="BB947">
        <v>315</v>
      </c>
      <c r="BC947">
        <v>322</v>
      </c>
      <c r="BD947" t="s">
        <v>74</v>
      </c>
      <c r="BE947" t="s">
        <v>12429</v>
      </c>
      <c r="BF947" t="str">
        <f>HYPERLINK("http://dx.doi.org/10.1111/j.1474-919X.1998.tb04395.x","http://dx.doi.org/10.1111/j.1474-919X.1998.tb04395.x")</f>
        <v>http://dx.doi.org/10.1111/j.1474-919X.1998.tb04395.x</v>
      </c>
      <c r="BG947" t="s">
        <v>74</v>
      </c>
      <c r="BH947" t="s">
        <v>74</v>
      </c>
      <c r="BI947">
        <v>8</v>
      </c>
      <c r="BJ947" t="s">
        <v>3526</v>
      </c>
      <c r="BK947" t="s">
        <v>95</v>
      </c>
      <c r="BL947" t="s">
        <v>117</v>
      </c>
      <c r="BM947" t="s">
        <v>12430</v>
      </c>
      <c r="BN947" t="s">
        <v>74</v>
      </c>
      <c r="BO947" t="s">
        <v>74</v>
      </c>
      <c r="BP947" t="s">
        <v>74</v>
      </c>
      <c r="BQ947" t="s">
        <v>74</v>
      </c>
      <c r="BR947" t="s">
        <v>98</v>
      </c>
      <c r="BS947" t="s">
        <v>12431</v>
      </c>
      <c r="BT947" t="str">
        <f>HYPERLINK("https%3A%2F%2Fwww.webofscience.com%2Fwos%2Fwoscc%2Ffull-record%2FWOS:000072941800016","View Full Record in Web of Science")</f>
        <v>View Full Record in Web of Science</v>
      </c>
    </row>
    <row r="948" spans="1:72" x14ac:dyDescent="0.15">
      <c r="A948" t="s">
        <v>72</v>
      </c>
      <c r="B948" t="s">
        <v>12432</v>
      </c>
      <c r="C948" t="s">
        <v>74</v>
      </c>
      <c r="D948" t="s">
        <v>74</v>
      </c>
      <c r="E948" t="s">
        <v>74</v>
      </c>
      <c r="F948" t="s">
        <v>12432</v>
      </c>
      <c r="G948" t="s">
        <v>74</v>
      </c>
      <c r="H948" t="s">
        <v>74</v>
      </c>
      <c r="I948" t="s">
        <v>12433</v>
      </c>
      <c r="J948" t="s">
        <v>7555</v>
      </c>
      <c r="K948" t="s">
        <v>74</v>
      </c>
      <c r="L948" t="s">
        <v>74</v>
      </c>
      <c r="M948" t="s">
        <v>77</v>
      </c>
      <c r="N948" t="s">
        <v>103</v>
      </c>
      <c r="O948" t="s">
        <v>74</v>
      </c>
      <c r="P948" t="s">
        <v>74</v>
      </c>
      <c r="Q948" t="s">
        <v>74</v>
      </c>
      <c r="R948" t="s">
        <v>74</v>
      </c>
      <c r="S948" t="s">
        <v>74</v>
      </c>
      <c r="T948" t="s">
        <v>12434</v>
      </c>
      <c r="U948" t="s">
        <v>12435</v>
      </c>
      <c r="V948" t="s">
        <v>12436</v>
      </c>
      <c r="W948" t="s">
        <v>12437</v>
      </c>
      <c r="X948" t="s">
        <v>12438</v>
      </c>
      <c r="Y948" t="s">
        <v>12439</v>
      </c>
      <c r="Z948" t="s">
        <v>12440</v>
      </c>
      <c r="AA948" t="s">
        <v>74</v>
      </c>
      <c r="AB948" t="s">
        <v>8848</v>
      </c>
      <c r="AC948" t="s">
        <v>74</v>
      </c>
      <c r="AD948" t="s">
        <v>74</v>
      </c>
      <c r="AE948" t="s">
        <v>74</v>
      </c>
      <c r="AF948" t="s">
        <v>74</v>
      </c>
      <c r="AG948">
        <v>25</v>
      </c>
      <c r="AH948">
        <v>63</v>
      </c>
      <c r="AI948">
        <v>66</v>
      </c>
      <c r="AJ948">
        <v>0</v>
      </c>
      <c r="AK948">
        <v>4</v>
      </c>
      <c r="AL948" t="s">
        <v>7563</v>
      </c>
      <c r="AM948" t="s">
        <v>7564</v>
      </c>
      <c r="AN948" t="s">
        <v>7565</v>
      </c>
      <c r="AO948" t="s">
        <v>7566</v>
      </c>
      <c r="AP948" t="s">
        <v>74</v>
      </c>
      <c r="AQ948" t="s">
        <v>74</v>
      </c>
      <c r="AR948" t="s">
        <v>7567</v>
      </c>
      <c r="AS948" t="s">
        <v>7568</v>
      </c>
      <c r="AT948" t="s">
        <v>12254</v>
      </c>
      <c r="AU948">
        <v>1998</v>
      </c>
      <c r="AV948">
        <v>18</v>
      </c>
      <c r="AW948">
        <v>5</v>
      </c>
      <c r="AX948" t="s">
        <v>74</v>
      </c>
      <c r="AY948" t="s">
        <v>74</v>
      </c>
      <c r="AZ948" t="s">
        <v>74</v>
      </c>
      <c r="BA948" t="s">
        <v>74</v>
      </c>
      <c r="BB948">
        <v>473</v>
      </c>
      <c r="BC948">
        <v>504</v>
      </c>
      <c r="BD948" t="s">
        <v>74</v>
      </c>
      <c r="BE948" t="s">
        <v>12441</v>
      </c>
      <c r="BF948" t="str">
        <f>HYPERLINK("http://dx.doi.org/10.1002/(SICI)1097-0088(199804)18:5&lt;473::AID-JOC266&gt;3.0.CO;2-0","http://dx.doi.org/10.1002/(SICI)1097-0088(199804)18:5&lt;473::AID-JOC266&gt;3.0.CO;2-0")</f>
        <v>http://dx.doi.org/10.1002/(SICI)1097-0088(199804)18:5&lt;473::AID-JOC266&gt;3.0.CO;2-0</v>
      </c>
      <c r="BG948" t="s">
        <v>74</v>
      </c>
      <c r="BH948" t="s">
        <v>74</v>
      </c>
      <c r="BI948">
        <v>32</v>
      </c>
      <c r="BJ948" t="s">
        <v>1418</v>
      </c>
      <c r="BK948" t="s">
        <v>95</v>
      </c>
      <c r="BL948" t="s">
        <v>1418</v>
      </c>
      <c r="BM948" t="s">
        <v>12442</v>
      </c>
      <c r="BN948" t="s">
        <v>74</v>
      </c>
      <c r="BO948" t="s">
        <v>74</v>
      </c>
      <c r="BP948" t="s">
        <v>74</v>
      </c>
      <c r="BQ948" t="s">
        <v>74</v>
      </c>
      <c r="BR948" t="s">
        <v>98</v>
      </c>
      <c r="BS948" t="s">
        <v>12443</v>
      </c>
      <c r="BT948" t="str">
        <f>HYPERLINK("https%3A%2F%2Fwww.webofscience.com%2Fwos%2Fwoscc%2Ffull-record%2FWOS:000073433000001","View Full Record in Web of Science")</f>
        <v>View Full Record in Web of Science</v>
      </c>
    </row>
    <row r="949" spans="1:72" x14ac:dyDescent="0.15">
      <c r="A949" t="s">
        <v>72</v>
      </c>
      <c r="B949" t="s">
        <v>12444</v>
      </c>
      <c r="C949" t="s">
        <v>74</v>
      </c>
      <c r="D949" t="s">
        <v>74</v>
      </c>
      <c r="E949" t="s">
        <v>74</v>
      </c>
      <c r="F949" t="s">
        <v>12444</v>
      </c>
      <c r="G949" t="s">
        <v>74</v>
      </c>
      <c r="H949" t="s">
        <v>74</v>
      </c>
      <c r="I949" t="s">
        <v>12445</v>
      </c>
      <c r="J949" t="s">
        <v>12446</v>
      </c>
      <c r="K949" t="s">
        <v>74</v>
      </c>
      <c r="L949" t="s">
        <v>74</v>
      </c>
      <c r="M949" t="s">
        <v>77</v>
      </c>
      <c r="N949" t="s">
        <v>103</v>
      </c>
      <c r="O949" t="s">
        <v>74</v>
      </c>
      <c r="P949" t="s">
        <v>74</v>
      </c>
      <c r="Q949" t="s">
        <v>74</v>
      </c>
      <c r="R949" t="s">
        <v>74</v>
      </c>
      <c r="S949" t="s">
        <v>74</v>
      </c>
      <c r="T949" t="s">
        <v>12447</v>
      </c>
      <c r="U949" t="s">
        <v>12448</v>
      </c>
      <c r="V949" t="s">
        <v>12449</v>
      </c>
      <c r="W949" t="s">
        <v>12450</v>
      </c>
      <c r="X949" t="s">
        <v>8452</v>
      </c>
      <c r="Y949" t="s">
        <v>12451</v>
      </c>
      <c r="Z949" t="s">
        <v>74</v>
      </c>
      <c r="AA949" t="s">
        <v>74</v>
      </c>
      <c r="AB949" t="s">
        <v>74</v>
      </c>
      <c r="AC949" t="s">
        <v>74</v>
      </c>
      <c r="AD949" t="s">
        <v>74</v>
      </c>
      <c r="AE949" t="s">
        <v>74</v>
      </c>
      <c r="AF949" t="s">
        <v>74</v>
      </c>
      <c r="AG949">
        <v>11</v>
      </c>
      <c r="AH949">
        <v>4</v>
      </c>
      <c r="AI949">
        <v>4</v>
      </c>
      <c r="AJ949">
        <v>0</v>
      </c>
      <c r="AK949">
        <v>1</v>
      </c>
      <c r="AL949" t="s">
        <v>12452</v>
      </c>
      <c r="AM949" t="s">
        <v>600</v>
      </c>
      <c r="AN949" t="s">
        <v>12453</v>
      </c>
      <c r="AO949" t="s">
        <v>12454</v>
      </c>
      <c r="AP949" t="s">
        <v>74</v>
      </c>
      <c r="AQ949" t="s">
        <v>74</v>
      </c>
      <c r="AR949" t="s">
        <v>12455</v>
      </c>
      <c r="AS949" t="s">
        <v>12456</v>
      </c>
      <c r="AT949" t="s">
        <v>12254</v>
      </c>
      <c r="AU949">
        <v>1998</v>
      </c>
      <c r="AV949">
        <v>48</v>
      </c>
      <c r="AW949">
        <v>2</v>
      </c>
      <c r="AX949" t="s">
        <v>74</v>
      </c>
      <c r="AY949" t="s">
        <v>74</v>
      </c>
      <c r="AZ949" t="s">
        <v>74</v>
      </c>
      <c r="BA949" t="s">
        <v>74</v>
      </c>
      <c r="BB949">
        <v>167</v>
      </c>
      <c r="BC949">
        <v>169</v>
      </c>
      <c r="BD949" t="s">
        <v>74</v>
      </c>
      <c r="BE949" t="s">
        <v>12457</v>
      </c>
      <c r="BF949" t="str">
        <f>HYPERLINK("http://dx.doi.org/10.2170/jjphysiol.48.167","http://dx.doi.org/10.2170/jjphysiol.48.167")</f>
        <v>http://dx.doi.org/10.2170/jjphysiol.48.167</v>
      </c>
      <c r="BG949" t="s">
        <v>74</v>
      </c>
      <c r="BH949" t="s">
        <v>74</v>
      </c>
      <c r="BI949">
        <v>3</v>
      </c>
      <c r="BJ949" t="s">
        <v>10135</v>
      </c>
      <c r="BK949" t="s">
        <v>95</v>
      </c>
      <c r="BL949" t="s">
        <v>10135</v>
      </c>
      <c r="BM949" t="s">
        <v>12458</v>
      </c>
      <c r="BN949">
        <v>9639553</v>
      </c>
      <c r="BO949" t="s">
        <v>1089</v>
      </c>
      <c r="BP949" t="s">
        <v>74</v>
      </c>
      <c r="BQ949" t="s">
        <v>74</v>
      </c>
      <c r="BR949" t="s">
        <v>98</v>
      </c>
      <c r="BS949" t="s">
        <v>12459</v>
      </c>
      <c r="BT949" t="str">
        <f>HYPERLINK("https%3A%2F%2Fwww.webofscience.com%2Fwos%2Fwoscc%2Ffull-record%2FWOS:000074588200009","View Full Record in Web of Science")</f>
        <v>View Full Record in Web of Science</v>
      </c>
    </row>
    <row r="950" spans="1:72" x14ac:dyDescent="0.15">
      <c r="A950" t="s">
        <v>72</v>
      </c>
      <c r="B950" t="s">
        <v>12460</v>
      </c>
      <c r="C950" t="s">
        <v>74</v>
      </c>
      <c r="D950" t="s">
        <v>74</v>
      </c>
      <c r="E950" t="s">
        <v>74</v>
      </c>
      <c r="F950" t="s">
        <v>12460</v>
      </c>
      <c r="G950" t="s">
        <v>74</v>
      </c>
      <c r="H950" t="s">
        <v>74</v>
      </c>
      <c r="I950" t="s">
        <v>12461</v>
      </c>
      <c r="J950" t="s">
        <v>12462</v>
      </c>
      <c r="K950" t="s">
        <v>74</v>
      </c>
      <c r="L950" t="s">
        <v>74</v>
      </c>
      <c r="M950" t="s">
        <v>12463</v>
      </c>
      <c r="N950" t="s">
        <v>103</v>
      </c>
      <c r="O950" t="s">
        <v>74</v>
      </c>
      <c r="P950" t="s">
        <v>74</v>
      </c>
      <c r="Q950" t="s">
        <v>74</v>
      </c>
      <c r="R950" t="s">
        <v>74</v>
      </c>
      <c r="S950" t="s">
        <v>74</v>
      </c>
      <c r="T950" t="s">
        <v>12464</v>
      </c>
      <c r="U950" t="s">
        <v>12465</v>
      </c>
      <c r="V950" t="s">
        <v>12466</v>
      </c>
      <c r="W950" t="s">
        <v>12467</v>
      </c>
      <c r="X950" t="s">
        <v>3281</v>
      </c>
      <c r="Y950" t="s">
        <v>12468</v>
      </c>
      <c r="Z950" t="s">
        <v>74</v>
      </c>
      <c r="AA950" t="s">
        <v>74</v>
      </c>
      <c r="AB950" t="s">
        <v>74</v>
      </c>
      <c r="AC950" t="s">
        <v>74</v>
      </c>
      <c r="AD950" t="s">
        <v>74</v>
      </c>
      <c r="AE950" t="s">
        <v>74</v>
      </c>
      <c r="AF950" t="s">
        <v>74</v>
      </c>
      <c r="AG950">
        <v>22</v>
      </c>
      <c r="AH950">
        <v>4</v>
      </c>
      <c r="AI950">
        <v>5</v>
      </c>
      <c r="AJ950">
        <v>0</v>
      </c>
      <c r="AK950">
        <v>8</v>
      </c>
      <c r="AL950" t="s">
        <v>12469</v>
      </c>
      <c r="AM950" t="s">
        <v>3411</v>
      </c>
      <c r="AN950" t="s">
        <v>12470</v>
      </c>
      <c r="AO950" t="s">
        <v>12471</v>
      </c>
      <c r="AP950" t="s">
        <v>74</v>
      </c>
      <c r="AQ950" t="s">
        <v>74</v>
      </c>
      <c r="AR950" t="s">
        <v>12472</v>
      </c>
      <c r="AS950" t="s">
        <v>12473</v>
      </c>
      <c r="AT950" t="s">
        <v>12254</v>
      </c>
      <c r="AU950">
        <v>1998</v>
      </c>
      <c r="AV950">
        <v>139</v>
      </c>
      <c r="AW950">
        <v>2</v>
      </c>
      <c r="AX950" t="s">
        <v>74</v>
      </c>
      <c r="AY950" t="s">
        <v>74</v>
      </c>
      <c r="AZ950" t="s">
        <v>74</v>
      </c>
      <c r="BA950" t="s">
        <v>74</v>
      </c>
      <c r="BB950">
        <v>149</v>
      </c>
      <c r="BC950">
        <v>156</v>
      </c>
      <c r="BD950" t="s">
        <v>74</v>
      </c>
      <c r="BE950" t="s">
        <v>12474</v>
      </c>
      <c r="BF950" t="str">
        <f>HYPERLINK("http://dx.doi.org/10.1007/BF01651224","http://dx.doi.org/10.1007/BF01651224")</f>
        <v>http://dx.doi.org/10.1007/BF01651224</v>
      </c>
      <c r="BG950" t="s">
        <v>74</v>
      </c>
      <c r="BH950" t="s">
        <v>74</v>
      </c>
      <c r="BI950">
        <v>8</v>
      </c>
      <c r="BJ950" t="s">
        <v>3526</v>
      </c>
      <c r="BK950" t="s">
        <v>95</v>
      </c>
      <c r="BL950" t="s">
        <v>117</v>
      </c>
      <c r="BM950" t="s">
        <v>12475</v>
      </c>
      <c r="BN950" t="s">
        <v>74</v>
      </c>
      <c r="BO950" t="s">
        <v>74</v>
      </c>
      <c r="BP950" t="s">
        <v>74</v>
      </c>
      <c r="BQ950" t="s">
        <v>74</v>
      </c>
      <c r="BR950" t="s">
        <v>98</v>
      </c>
      <c r="BS950" t="s">
        <v>12476</v>
      </c>
      <c r="BT950" t="str">
        <f>HYPERLINK("https%3A%2F%2Fwww.webofscience.com%2Fwos%2Fwoscc%2Ffull-record%2FWOS:000074041300004","View Full Record in Web of Science")</f>
        <v>View Full Record in Web of Science</v>
      </c>
    </row>
    <row r="951" spans="1:72" x14ac:dyDescent="0.15">
      <c r="A951" t="s">
        <v>72</v>
      </c>
      <c r="B951" t="s">
        <v>12477</v>
      </c>
      <c r="C951" t="s">
        <v>74</v>
      </c>
      <c r="D951" t="s">
        <v>74</v>
      </c>
      <c r="E951" t="s">
        <v>74</v>
      </c>
      <c r="F951" t="s">
        <v>12477</v>
      </c>
      <c r="G951" t="s">
        <v>74</v>
      </c>
      <c r="H951" t="s">
        <v>74</v>
      </c>
      <c r="I951" t="s">
        <v>12478</v>
      </c>
      <c r="J951" t="s">
        <v>1338</v>
      </c>
      <c r="K951" t="s">
        <v>74</v>
      </c>
      <c r="L951" t="s">
        <v>74</v>
      </c>
      <c r="M951" t="s">
        <v>77</v>
      </c>
      <c r="N951" t="s">
        <v>103</v>
      </c>
      <c r="O951" t="s">
        <v>74</v>
      </c>
      <c r="P951" t="s">
        <v>74</v>
      </c>
      <c r="Q951" t="s">
        <v>74</v>
      </c>
      <c r="R951" t="s">
        <v>74</v>
      </c>
      <c r="S951" t="s">
        <v>74</v>
      </c>
      <c r="T951" t="s">
        <v>74</v>
      </c>
      <c r="U951" t="s">
        <v>12479</v>
      </c>
      <c r="V951" t="s">
        <v>12480</v>
      </c>
      <c r="W951" t="s">
        <v>12481</v>
      </c>
      <c r="X951" t="s">
        <v>12482</v>
      </c>
      <c r="Y951" t="s">
        <v>12483</v>
      </c>
      <c r="Z951" t="s">
        <v>12484</v>
      </c>
      <c r="AA951" t="s">
        <v>74</v>
      </c>
      <c r="AB951" t="s">
        <v>74</v>
      </c>
      <c r="AC951" t="s">
        <v>74</v>
      </c>
      <c r="AD951" t="s">
        <v>74</v>
      </c>
      <c r="AE951" t="s">
        <v>74</v>
      </c>
      <c r="AF951" t="s">
        <v>74</v>
      </c>
      <c r="AG951">
        <v>40</v>
      </c>
      <c r="AH951">
        <v>4</v>
      </c>
      <c r="AI951">
        <v>4</v>
      </c>
      <c r="AJ951">
        <v>0</v>
      </c>
      <c r="AK951">
        <v>7</v>
      </c>
      <c r="AL951" t="s">
        <v>1344</v>
      </c>
      <c r="AM951" t="s">
        <v>1345</v>
      </c>
      <c r="AN951" t="s">
        <v>1346</v>
      </c>
      <c r="AO951" t="s">
        <v>1347</v>
      </c>
      <c r="AP951" t="s">
        <v>74</v>
      </c>
      <c r="AQ951" t="s">
        <v>74</v>
      </c>
      <c r="AR951" t="s">
        <v>1349</v>
      </c>
      <c r="AS951" t="s">
        <v>1350</v>
      </c>
      <c r="AT951" t="s">
        <v>12254</v>
      </c>
      <c r="AU951">
        <v>1998</v>
      </c>
      <c r="AV951">
        <v>15</v>
      </c>
      <c r="AW951">
        <v>2</v>
      </c>
      <c r="AX951" t="s">
        <v>74</v>
      </c>
      <c r="AY951" t="s">
        <v>74</v>
      </c>
      <c r="AZ951" t="s">
        <v>74</v>
      </c>
      <c r="BA951" t="s">
        <v>74</v>
      </c>
      <c r="BB951">
        <v>482</v>
      </c>
      <c r="BC951">
        <v>495</v>
      </c>
      <c r="BD951" t="s">
        <v>74</v>
      </c>
      <c r="BE951" t="s">
        <v>12485</v>
      </c>
      <c r="BF951" t="str">
        <f>HYPERLINK("http://dx.doi.org/10.1175/1520-0426(1998)015&lt;0482:TSSAAS&gt;2.0.CO;2","http://dx.doi.org/10.1175/1520-0426(1998)015&lt;0482:TSSAAS&gt;2.0.CO;2")</f>
        <v>http://dx.doi.org/10.1175/1520-0426(1998)015&lt;0482:TSSAAS&gt;2.0.CO;2</v>
      </c>
      <c r="BG951" t="s">
        <v>74</v>
      </c>
      <c r="BH951" t="s">
        <v>74</v>
      </c>
      <c r="BI951">
        <v>14</v>
      </c>
      <c r="BJ951" t="s">
        <v>1352</v>
      </c>
      <c r="BK951" t="s">
        <v>95</v>
      </c>
      <c r="BL951" t="s">
        <v>1353</v>
      </c>
      <c r="BM951" t="s">
        <v>12486</v>
      </c>
      <c r="BN951" t="s">
        <v>74</v>
      </c>
      <c r="BO951" t="s">
        <v>1429</v>
      </c>
      <c r="BP951" t="s">
        <v>74</v>
      </c>
      <c r="BQ951" t="s">
        <v>74</v>
      </c>
      <c r="BR951" t="s">
        <v>98</v>
      </c>
      <c r="BS951" t="s">
        <v>12487</v>
      </c>
      <c r="BT951" t="str">
        <f>HYPERLINK("https%3A%2F%2Fwww.webofscience.com%2Fwos%2Fwoscc%2Ffull-record%2FWOS:000072684000011","View Full Record in Web of Science")</f>
        <v>View Full Record in Web of Science</v>
      </c>
    </row>
    <row r="952" spans="1:72" x14ac:dyDescent="0.15">
      <c r="A952" t="s">
        <v>72</v>
      </c>
      <c r="B952" t="s">
        <v>12488</v>
      </c>
      <c r="C952" t="s">
        <v>74</v>
      </c>
      <c r="D952" t="s">
        <v>74</v>
      </c>
      <c r="E952" t="s">
        <v>74</v>
      </c>
      <c r="F952" t="s">
        <v>12488</v>
      </c>
      <c r="G952" t="s">
        <v>74</v>
      </c>
      <c r="H952" t="s">
        <v>74</v>
      </c>
      <c r="I952" t="s">
        <v>12489</v>
      </c>
      <c r="J952" t="s">
        <v>8464</v>
      </c>
      <c r="K952" t="s">
        <v>74</v>
      </c>
      <c r="L952" t="s">
        <v>74</v>
      </c>
      <c r="M952" t="s">
        <v>77</v>
      </c>
      <c r="N952" t="s">
        <v>103</v>
      </c>
      <c r="O952" t="s">
        <v>74</v>
      </c>
      <c r="P952" t="s">
        <v>74</v>
      </c>
      <c r="Q952" t="s">
        <v>74</v>
      </c>
      <c r="R952" t="s">
        <v>74</v>
      </c>
      <c r="S952" t="s">
        <v>74</v>
      </c>
      <c r="T952" t="s">
        <v>74</v>
      </c>
      <c r="U952" t="s">
        <v>12490</v>
      </c>
      <c r="V952" t="s">
        <v>12491</v>
      </c>
      <c r="W952" t="s">
        <v>12492</v>
      </c>
      <c r="X952" t="s">
        <v>12493</v>
      </c>
      <c r="Y952" t="s">
        <v>12494</v>
      </c>
      <c r="Z952" t="s">
        <v>74</v>
      </c>
      <c r="AA952" t="s">
        <v>12495</v>
      </c>
      <c r="AB952" t="s">
        <v>12496</v>
      </c>
      <c r="AC952" t="s">
        <v>74</v>
      </c>
      <c r="AD952" t="s">
        <v>74</v>
      </c>
      <c r="AE952" t="s">
        <v>74</v>
      </c>
      <c r="AF952" t="s">
        <v>74</v>
      </c>
      <c r="AG952">
        <v>34</v>
      </c>
      <c r="AH952">
        <v>6</v>
      </c>
      <c r="AI952">
        <v>6</v>
      </c>
      <c r="AJ952">
        <v>0</v>
      </c>
      <c r="AK952">
        <v>0</v>
      </c>
      <c r="AL952" t="s">
        <v>445</v>
      </c>
      <c r="AM952" t="s">
        <v>229</v>
      </c>
      <c r="AN952" t="s">
        <v>446</v>
      </c>
      <c r="AO952" t="s">
        <v>8471</v>
      </c>
      <c r="AP952" t="s">
        <v>74</v>
      </c>
      <c r="AQ952" t="s">
        <v>74</v>
      </c>
      <c r="AR952" t="s">
        <v>8472</v>
      </c>
      <c r="AS952" t="s">
        <v>8473</v>
      </c>
      <c r="AT952" t="s">
        <v>12254</v>
      </c>
      <c r="AU952">
        <v>1998</v>
      </c>
      <c r="AV952">
        <v>60</v>
      </c>
      <c r="AW952">
        <v>6</v>
      </c>
      <c r="AX952" t="s">
        <v>74</v>
      </c>
      <c r="AY952" t="s">
        <v>74</v>
      </c>
      <c r="AZ952" t="s">
        <v>74</v>
      </c>
      <c r="BA952" t="s">
        <v>74</v>
      </c>
      <c r="BB952">
        <v>595</v>
      </c>
      <c r="BC952">
        <v>605</v>
      </c>
      <c r="BD952" t="s">
        <v>74</v>
      </c>
      <c r="BE952" t="s">
        <v>12497</v>
      </c>
      <c r="BF952" t="str">
        <f>HYPERLINK("http://dx.doi.org/10.1016/S1364-6826(98)00010-8","http://dx.doi.org/10.1016/S1364-6826(98)00010-8")</f>
        <v>http://dx.doi.org/10.1016/S1364-6826(98)00010-8</v>
      </c>
      <c r="BG952" t="s">
        <v>74</v>
      </c>
      <c r="BH952" t="s">
        <v>74</v>
      </c>
      <c r="BI952">
        <v>11</v>
      </c>
      <c r="BJ952" t="s">
        <v>8475</v>
      </c>
      <c r="BK952" t="s">
        <v>95</v>
      </c>
      <c r="BL952" t="s">
        <v>8475</v>
      </c>
      <c r="BM952" t="s">
        <v>12498</v>
      </c>
      <c r="BN952" t="s">
        <v>74</v>
      </c>
      <c r="BO952" t="s">
        <v>74</v>
      </c>
      <c r="BP952" t="s">
        <v>74</v>
      </c>
      <c r="BQ952" t="s">
        <v>74</v>
      </c>
      <c r="BR952" t="s">
        <v>98</v>
      </c>
      <c r="BS952" t="s">
        <v>12499</v>
      </c>
      <c r="BT952" t="str">
        <f>HYPERLINK("https%3A%2F%2Fwww.webofscience.com%2Fwos%2Fwoscc%2Ffull-record%2FWOS:000074810300004","View Full Record in Web of Science")</f>
        <v>View Full Record in Web of Science</v>
      </c>
    </row>
    <row r="953" spans="1:72" x14ac:dyDescent="0.15">
      <c r="A953" t="s">
        <v>72</v>
      </c>
      <c r="B953" t="s">
        <v>12500</v>
      </c>
      <c r="C953" t="s">
        <v>74</v>
      </c>
      <c r="D953" t="s">
        <v>74</v>
      </c>
      <c r="E953" t="s">
        <v>74</v>
      </c>
      <c r="F953" t="s">
        <v>12500</v>
      </c>
      <c r="G953" t="s">
        <v>74</v>
      </c>
      <c r="H953" t="s">
        <v>74</v>
      </c>
      <c r="I953" t="s">
        <v>12501</v>
      </c>
      <c r="J953" t="s">
        <v>12502</v>
      </c>
      <c r="K953" t="s">
        <v>74</v>
      </c>
      <c r="L953" t="s">
        <v>74</v>
      </c>
      <c r="M953" t="s">
        <v>77</v>
      </c>
      <c r="N953" t="s">
        <v>103</v>
      </c>
      <c r="O953" t="s">
        <v>74</v>
      </c>
      <c r="P953" t="s">
        <v>74</v>
      </c>
      <c r="Q953" t="s">
        <v>74</v>
      </c>
      <c r="R953" t="s">
        <v>74</v>
      </c>
      <c r="S953" t="s">
        <v>74</v>
      </c>
      <c r="T953" t="s">
        <v>74</v>
      </c>
      <c r="U953" t="s">
        <v>74</v>
      </c>
      <c r="V953" t="s">
        <v>12503</v>
      </c>
      <c r="W953" t="s">
        <v>12504</v>
      </c>
      <c r="X953" t="s">
        <v>12505</v>
      </c>
      <c r="Y953" t="s">
        <v>12506</v>
      </c>
      <c r="Z953" t="s">
        <v>12507</v>
      </c>
      <c r="AA953" t="s">
        <v>74</v>
      </c>
      <c r="AB953" t="s">
        <v>74</v>
      </c>
      <c r="AC953" t="s">
        <v>74</v>
      </c>
      <c r="AD953" t="s">
        <v>74</v>
      </c>
      <c r="AE953" t="s">
        <v>74</v>
      </c>
      <c r="AF953" t="s">
        <v>74</v>
      </c>
      <c r="AG953">
        <v>12</v>
      </c>
      <c r="AH953">
        <v>30</v>
      </c>
      <c r="AI953">
        <v>30</v>
      </c>
      <c r="AJ953">
        <v>0</v>
      </c>
      <c r="AK953">
        <v>12</v>
      </c>
      <c r="AL953" t="s">
        <v>12508</v>
      </c>
      <c r="AM953" t="s">
        <v>278</v>
      </c>
      <c r="AN953" t="s">
        <v>12509</v>
      </c>
      <c r="AO953" t="s">
        <v>12510</v>
      </c>
      <c r="AP953" t="s">
        <v>74</v>
      </c>
      <c r="AQ953" t="s">
        <v>74</v>
      </c>
      <c r="AR953" t="s">
        <v>12511</v>
      </c>
      <c r="AS953" t="s">
        <v>12512</v>
      </c>
      <c r="AT953" t="s">
        <v>12254</v>
      </c>
      <c r="AU953">
        <v>1998</v>
      </c>
      <c r="AV953">
        <v>120</v>
      </c>
      <c r="AW953">
        <v>2</v>
      </c>
      <c r="AX953" t="s">
        <v>74</v>
      </c>
      <c r="AY953" t="s">
        <v>74</v>
      </c>
      <c r="AZ953" t="s">
        <v>74</v>
      </c>
      <c r="BA953" t="s">
        <v>74</v>
      </c>
      <c r="BB953">
        <v>255</v>
      </c>
      <c r="BC953">
        <v>258</v>
      </c>
      <c r="BD953" t="s">
        <v>74</v>
      </c>
      <c r="BE953" t="s">
        <v>12513</v>
      </c>
      <c r="BF953" t="str">
        <f>HYPERLINK("http://dx.doi.org/10.1115/1.2798309","http://dx.doi.org/10.1115/1.2798309")</f>
        <v>http://dx.doi.org/10.1115/1.2798309</v>
      </c>
      <c r="BG953" t="s">
        <v>74</v>
      </c>
      <c r="BH953" t="s">
        <v>74</v>
      </c>
      <c r="BI953">
        <v>4</v>
      </c>
      <c r="BJ953" t="s">
        <v>12514</v>
      </c>
      <c r="BK953" t="s">
        <v>95</v>
      </c>
      <c r="BL953" t="s">
        <v>12515</v>
      </c>
      <c r="BM953" t="s">
        <v>12516</v>
      </c>
      <c r="BN953">
        <v>10412387</v>
      </c>
      <c r="BO953" t="s">
        <v>74</v>
      </c>
      <c r="BP953" t="s">
        <v>74</v>
      </c>
      <c r="BQ953" t="s">
        <v>74</v>
      </c>
      <c r="BR953" t="s">
        <v>98</v>
      </c>
      <c r="BS953" t="s">
        <v>12517</v>
      </c>
      <c r="BT953" t="str">
        <f>HYPERLINK("https%3A%2F%2Fwww.webofscience.com%2Fwos%2Fwoscc%2Ffull-record%2FWOS:000073505100011","View Full Record in Web of Science")</f>
        <v>View Full Record in Web of Science</v>
      </c>
    </row>
    <row r="954" spans="1:72" x14ac:dyDescent="0.15">
      <c r="A954" t="s">
        <v>72</v>
      </c>
      <c r="B954" t="s">
        <v>12518</v>
      </c>
      <c r="C954" t="s">
        <v>74</v>
      </c>
      <c r="D954" t="s">
        <v>74</v>
      </c>
      <c r="E954" t="s">
        <v>74</v>
      </c>
      <c r="F954" t="s">
        <v>12518</v>
      </c>
      <c r="G954" t="s">
        <v>74</v>
      </c>
      <c r="H954" t="s">
        <v>74</v>
      </c>
      <c r="I954" t="s">
        <v>12519</v>
      </c>
      <c r="J954" t="s">
        <v>9507</v>
      </c>
      <c r="K954" t="s">
        <v>74</v>
      </c>
      <c r="L954" t="s">
        <v>74</v>
      </c>
      <c r="M954" t="s">
        <v>77</v>
      </c>
      <c r="N954" t="s">
        <v>103</v>
      </c>
      <c r="O954" t="s">
        <v>74</v>
      </c>
      <c r="P954" t="s">
        <v>74</v>
      </c>
      <c r="Q954" t="s">
        <v>74</v>
      </c>
      <c r="R954" t="s">
        <v>74</v>
      </c>
      <c r="S954" t="s">
        <v>74</v>
      </c>
      <c r="T954" t="s">
        <v>12520</v>
      </c>
      <c r="U954" t="s">
        <v>12521</v>
      </c>
      <c r="V954" t="s">
        <v>12522</v>
      </c>
      <c r="W954" t="s">
        <v>12523</v>
      </c>
      <c r="X954" t="s">
        <v>12524</v>
      </c>
      <c r="Y954" t="s">
        <v>12525</v>
      </c>
      <c r="Z954" t="s">
        <v>74</v>
      </c>
      <c r="AA954" t="s">
        <v>7008</v>
      </c>
      <c r="AB954" t="s">
        <v>7009</v>
      </c>
      <c r="AC954" t="s">
        <v>74</v>
      </c>
      <c r="AD954" t="s">
        <v>74</v>
      </c>
      <c r="AE954" t="s">
        <v>74</v>
      </c>
      <c r="AF954" t="s">
        <v>74</v>
      </c>
      <c r="AG954">
        <v>26</v>
      </c>
      <c r="AH954">
        <v>76</v>
      </c>
      <c r="AI954">
        <v>81</v>
      </c>
      <c r="AJ954">
        <v>0</v>
      </c>
      <c r="AK954">
        <v>11</v>
      </c>
      <c r="AL954" t="s">
        <v>887</v>
      </c>
      <c r="AM954" t="s">
        <v>278</v>
      </c>
      <c r="AN954" t="s">
        <v>888</v>
      </c>
      <c r="AO954" t="s">
        <v>9515</v>
      </c>
      <c r="AP954" t="s">
        <v>74</v>
      </c>
      <c r="AQ954" t="s">
        <v>74</v>
      </c>
      <c r="AR954" t="s">
        <v>9516</v>
      </c>
      <c r="AS954" t="s">
        <v>9517</v>
      </c>
      <c r="AT954" t="s">
        <v>12254</v>
      </c>
      <c r="AU954">
        <v>1998</v>
      </c>
      <c r="AV954">
        <v>168</v>
      </c>
      <c r="AW954">
        <v>3</v>
      </c>
      <c r="AX954" t="s">
        <v>74</v>
      </c>
      <c r="AY954" t="s">
        <v>74</v>
      </c>
      <c r="AZ954" t="s">
        <v>74</v>
      </c>
      <c r="BA954" t="s">
        <v>74</v>
      </c>
      <c r="BB954">
        <v>190</v>
      </c>
      <c r="BC954">
        <v>196</v>
      </c>
      <c r="BD954" t="s">
        <v>74</v>
      </c>
      <c r="BE954" t="s">
        <v>12526</v>
      </c>
      <c r="BF954" t="str">
        <f>HYPERLINK("http://dx.doi.org/10.1007/s003600050136","http://dx.doi.org/10.1007/s003600050136")</f>
        <v>http://dx.doi.org/10.1007/s003600050136</v>
      </c>
      <c r="BG954" t="s">
        <v>74</v>
      </c>
      <c r="BH954" t="s">
        <v>74</v>
      </c>
      <c r="BI954">
        <v>7</v>
      </c>
      <c r="BJ954" t="s">
        <v>9519</v>
      </c>
      <c r="BK954" t="s">
        <v>95</v>
      </c>
      <c r="BL954" t="s">
        <v>9519</v>
      </c>
      <c r="BM954" t="s">
        <v>12527</v>
      </c>
      <c r="BN954" t="s">
        <v>74</v>
      </c>
      <c r="BO954" t="s">
        <v>74</v>
      </c>
      <c r="BP954" t="s">
        <v>74</v>
      </c>
      <c r="BQ954" t="s">
        <v>74</v>
      </c>
      <c r="BR954" t="s">
        <v>98</v>
      </c>
      <c r="BS954" t="s">
        <v>12528</v>
      </c>
      <c r="BT954" t="str">
        <f>HYPERLINK("https%3A%2F%2Fwww.webofscience.com%2Fwos%2Fwoscc%2Ffull-record%2FWOS:000073264300006","View Full Record in Web of Science")</f>
        <v>View Full Record in Web of Science</v>
      </c>
    </row>
    <row r="955" spans="1:72" x14ac:dyDescent="0.15">
      <c r="A955" t="s">
        <v>72</v>
      </c>
      <c r="B955" t="s">
        <v>12529</v>
      </c>
      <c r="C955" t="s">
        <v>74</v>
      </c>
      <c r="D955" t="s">
        <v>74</v>
      </c>
      <c r="E955" t="s">
        <v>74</v>
      </c>
      <c r="F955" t="s">
        <v>12529</v>
      </c>
      <c r="G955" t="s">
        <v>74</v>
      </c>
      <c r="H955" t="s">
        <v>74</v>
      </c>
      <c r="I955" t="s">
        <v>12530</v>
      </c>
      <c r="J955" t="s">
        <v>9507</v>
      </c>
      <c r="K955" t="s">
        <v>74</v>
      </c>
      <c r="L955" t="s">
        <v>74</v>
      </c>
      <c r="M955" t="s">
        <v>77</v>
      </c>
      <c r="N955" t="s">
        <v>103</v>
      </c>
      <c r="O955" t="s">
        <v>74</v>
      </c>
      <c r="P955" t="s">
        <v>74</v>
      </c>
      <c r="Q955" t="s">
        <v>74</v>
      </c>
      <c r="R955" t="s">
        <v>74</v>
      </c>
      <c r="S955" t="s">
        <v>74</v>
      </c>
      <c r="T955" t="s">
        <v>12531</v>
      </c>
      <c r="U955" t="s">
        <v>12532</v>
      </c>
      <c r="V955" t="s">
        <v>12533</v>
      </c>
      <c r="W955" t="s">
        <v>12534</v>
      </c>
      <c r="X955" t="s">
        <v>12535</v>
      </c>
      <c r="Y955" t="s">
        <v>4139</v>
      </c>
      <c r="Z955" t="s">
        <v>12536</v>
      </c>
      <c r="AA955" t="s">
        <v>74</v>
      </c>
      <c r="AB955" t="s">
        <v>12537</v>
      </c>
      <c r="AC955" t="s">
        <v>74</v>
      </c>
      <c r="AD955" t="s">
        <v>74</v>
      </c>
      <c r="AE955" t="s">
        <v>74</v>
      </c>
      <c r="AF955" t="s">
        <v>74</v>
      </c>
      <c r="AG955">
        <v>49</v>
      </c>
      <c r="AH955">
        <v>69</v>
      </c>
      <c r="AI955">
        <v>100</v>
      </c>
      <c r="AJ955">
        <v>0</v>
      </c>
      <c r="AK955">
        <v>20</v>
      </c>
      <c r="AL955" t="s">
        <v>887</v>
      </c>
      <c r="AM955" t="s">
        <v>278</v>
      </c>
      <c r="AN955" t="s">
        <v>888</v>
      </c>
      <c r="AO955" t="s">
        <v>9515</v>
      </c>
      <c r="AP955" t="s">
        <v>74</v>
      </c>
      <c r="AQ955" t="s">
        <v>74</v>
      </c>
      <c r="AR955" t="s">
        <v>9516</v>
      </c>
      <c r="AS955" t="s">
        <v>9517</v>
      </c>
      <c r="AT955" t="s">
        <v>12254</v>
      </c>
      <c r="AU955">
        <v>1998</v>
      </c>
      <c r="AV955">
        <v>168</v>
      </c>
      <c r="AW955">
        <v>3</v>
      </c>
      <c r="AX955" t="s">
        <v>74</v>
      </c>
      <c r="AY955" t="s">
        <v>74</v>
      </c>
      <c r="AZ955" t="s">
        <v>74</v>
      </c>
      <c r="BA955" t="s">
        <v>74</v>
      </c>
      <c r="BB955">
        <v>225</v>
      </c>
      <c r="BC955">
        <v>232</v>
      </c>
      <c r="BD955" t="s">
        <v>74</v>
      </c>
      <c r="BE955" t="s">
        <v>12538</v>
      </c>
      <c r="BF955" t="str">
        <f>HYPERLINK("http://dx.doi.org/10.1007/s003600050140","http://dx.doi.org/10.1007/s003600050140")</f>
        <v>http://dx.doi.org/10.1007/s003600050140</v>
      </c>
      <c r="BG955" t="s">
        <v>74</v>
      </c>
      <c r="BH955" t="s">
        <v>74</v>
      </c>
      <c r="BI955">
        <v>8</v>
      </c>
      <c r="BJ955" t="s">
        <v>9519</v>
      </c>
      <c r="BK955" t="s">
        <v>95</v>
      </c>
      <c r="BL955" t="s">
        <v>9519</v>
      </c>
      <c r="BM955" t="s">
        <v>12527</v>
      </c>
      <c r="BN955">
        <v>9591363</v>
      </c>
      <c r="BO955" t="s">
        <v>74</v>
      </c>
      <c r="BP955" t="s">
        <v>74</v>
      </c>
      <c r="BQ955" t="s">
        <v>74</v>
      </c>
      <c r="BR955" t="s">
        <v>98</v>
      </c>
      <c r="BS955" t="s">
        <v>12539</v>
      </c>
      <c r="BT955" t="str">
        <f>HYPERLINK("https%3A%2F%2Fwww.webofscience.com%2Fwos%2Fwoscc%2Ffull-record%2FWOS:000073264300010","View Full Record in Web of Science")</f>
        <v>View Full Record in Web of Science</v>
      </c>
    </row>
    <row r="956" spans="1:72" x14ac:dyDescent="0.15">
      <c r="A956" t="s">
        <v>72</v>
      </c>
      <c r="B956" t="s">
        <v>12540</v>
      </c>
      <c r="C956" t="s">
        <v>74</v>
      </c>
      <c r="D956" t="s">
        <v>74</v>
      </c>
      <c r="E956" t="s">
        <v>74</v>
      </c>
      <c r="F956" t="s">
        <v>12540</v>
      </c>
      <c r="G956" t="s">
        <v>74</v>
      </c>
      <c r="H956" t="s">
        <v>74</v>
      </c>
      <c r="I956" t="s">
        <v>12541</v>
      </c>
      <c r="J956" t="s">
        <v>9524</v>
      </c>
      <c r="K956" t="s">
        <v>74</v>
      </c>
      <c r="L956" t="s">
        <v>74</v>
      </c>
      <c r="M956" t="s">
        <v>77</v>
      </c>
      <c r="N956" t="s">
        <v>103</v>
      </c>
      <c r="O956" t="s">
        <v>74</v>
      </c>
      <c r="P956" t="s">
        <v>74</v>
      </c>
      <c r="Q956" t="s">
        <v>74</v>
      </c>
      <c r="R956" t="s">
        <v>74</v>
      </c>
      <c r="S956" t="s">
        <v>74</v>
      </c>
      <c r="T956" t="s">
        <v>12542</v>
      </c>
      <c r="U956" t="s">
        <v>12543</v>
      </c>
      <c r="V956" t="s">
        <v>12544</v>
      </c>
      <c r="W956" t="s">
        <v>12545</v>
      </c>
      <c r="X956" t="s">
        <v>5455</v>
      </c>
      <c r="Y956" t="s">
        <v>12546</v>
      </c>
      <c r="Z956" t="s">
        <v>12547</v>
      </c>
      <c r="AA956" t="s">
        <v>74</v>
      </c>
      <c r="AB956" t="s">
        <v>74</v>
      </c>
      <c r="AC956" t="s">
        <v>74</v>
      </c>
      <c r="AD956" t="s">
        <v>74</v>
      </c>
      <c r="AE956" t="s">
        <v>74</v>
      </c>
      <c r="AF956" t="s">
        <v>74</v>
      </c>
      <c r="AG956">
        <v>73</v>
      </c>
      <c r="AH956">
        <v>330</v>
      </c>
      <c r="AI956">
        <v>378</v>
      </c>
      <c r="AJ956">
        <v>4</v>
      </c>
      <c r="AK956">
        <v>119</v>
      </c>
      <c r="AL956" t="s">
        <v>12548</v>
      </c>
      <c r="AM956" t="s">
        <v>395</v>
      </c>
      <c r="AN956" t="s">
        <v>12549</v>
      </c>
      <c r="AO956" t="s">
        <v>9535</v>
      </c>
      <c r="AP956" t="s">
        <v>12550</v>
      </c>
      <c r="AQ956" t="s">
        <v>74</v>
      </c>
      <c r="AR956" t="s">
        <v>9536</v>
      </c>
      <c r="AS956" t="s">
        <v>9537</v>
      </c>
      <c r="AT956" t="s">
        <v>12254</v>
      </c>
      <c r="AU956">
        <v>1998</v>
      </c>
      <c r="AV956">
        <v>201</v>
      </c>
      <c r="AW956">
        <v>8</v>
      </c>
      <c r="AX956" t="s">
        <v>74</v>
      </c>
      <c r="AY956" t="s">
        <v>74</v>
      </c>
      <c r="AZ956" t="s">
        <v>74</v>
      </c>
      <c r="BA956" t="s">
        <v>74</v>
      </c>
      <c r="BB956">
        <v>1223</v>
      </c>
      <c r="BC956">
        <v>1232</v>
      </c>
      <c r="BD956" t="s">
        <v>74</v>
      </c>
      <c r="BE956" t="s">
        <v>74</v>
      </c>
      <c r="BF956" t="s">
        <v>74</v>
      </c>
      <c r="BG956" t="s">
        <v>74</v>
      </c>
      <c r="BH956" t="s">
        <v>74</v>
      </c>
      <c r="BI956">
        <v>10</v>
      </c>
      <c r="BJ956" t="s">
        <v>6479</v>
      </c>
      <c r="BK956" t="s">
        <v>95</v>
      </c>
      <c r="BL956" t="s">
        <v>6480</v>
      </c>
      <c r="BM956" t="s">
        <v>12551</v>
      </c>
      <c r="BN956">
        <v>9510533</v>
      </c>
      <c r="BO956" t="s">
        <v>74</v>
      </c>
      <c r="BP956" t="s">
        <v>74</v>
      </c>
      <c r="BQ956" t="s">
        <v>74</v>
      </c>
      <c r="BR956" t="s">
        <v>98</v>
      </c>
      <c r="BS956" t="s">
        <v>12552</v>
      </c>
      <c r="BT956" t="str">
        <f>HYPERLINK("https%3A%2F%2Fwww.webofscience.com%2Fwos%2Fwoscc%2Ffull-record%2FWOS:000073772900016","View Full Record in Web of Science")</f>
        <v>View Full Record in Web of Science</v>
      </c>
    </row>
    <row r="957" spans="1:72" x14ac:dyDescent="0.15">
      <c r="A957" t="s">
        <v>72</v>
      </c>
      <c r="B957" t="s">
        <v>12553</v>
      </c>
      <c r="C957" t="s">
        <v>74</v>
      </c>
      <c r="D957" t="s">
        <v>74</v>
      </c>
      <c r="E957" t="s">
        <v>74</v>
      </c>
      <c r="F957" t="s">
        <v>12553</v>
      </c>
      <c r="G957" t="s">
        <v>74</v>
      </c>
      <c r="H957" t="s">
        <v>74</v>
      </c>
      <c r="I957" t="s">
        <v>12554</v>
      </c>
      <c r="J957" t="s">
        <v>1450</v>
      </c>
      <c r="K957" t="s">
        <v>74</v>
      </c>
      <c r="L957" t="s">
        <v>74</v>
      </c>
      <c r="M957" t="s">
        <v>77</v>
      </c>
      <c r="N957" t="s">
        <v>103</v>
      </c>
      <c r="O957" t="s">
        <v>74</v>
      </c>
      <c r="P957" t="s">
        <v>74</v>
      </c>
      <c r="Q957" t="s">
        <v>74</v>
      </c>
      <c r="R957" t="s">
        <v>74</v>
      </c>
      <c r="S957" t="s">
        <v>74</v>
      </c>
      <c r="T957" t="s">
        <v>74</v>
      </c>
      <c r="U957" t="s">
        <v>12555</v>
      </c>
      <c r="V957" t="s">
        <v>12556</v>
      </c>
      <c r="W957" t="s">
        <v>12557</v>
      </c>
      <c r="X957" t="s">
        <v>12558</v>
      </c>
      <c r="Y957" t="s">
        <v>12559</v>
      </c>
      <c r="Z957" t="s">
        <v>12560</v>
      </c>
      <c r="AA957" t="s">
        <v>74</v>
      </c>
      <c r="AB957" t="s">
        <v>74</v>
      </c>
      <c r="AC957" t="s">
        <v>74</v>
      </c>
      <c r="AD957" t="s">
        <v>74</v>
      </c>
      <c r="AE957" t="s">
        <v>74</v>
      </c>
      <c r="AF957" t="s">
        <v>74</v>
      </c>
      <c r="AG957">
        <v>22</v>
      </c>
      <c r="AH957">
        <v>28</v>
      </c>
      <c r="AI957">
        <v>31</v>
      </c>
      <c r="AJ957">
        <v>0</v>
      </c>
      <c r="AK957">
        <v>0</v>
      </c>
      <c r="AL957" t="s">
        <v>966</v>
      </c>
      <c r="AM957" t="s">
        <v>967</v>
      </c>
      <c r="AN957" t="s">
        <v>968</v>
      </c>
      <c r="AO957" t="s">
        <v>74</v>
      </c>
      <c r="AP957" t="s">
        <v>74</v>
      </c>
      <c r="AQ957" t="s">
        <v>74</v>
      </c>
      <c r="AR957" t="s">
        <v>1460</v>
      </c>
      <c r="AS957" t="s">
        <v>1461</v>
      </c>
      <c r="AT957" t="s">
        <v>12382</v>
      </c>
      <c r="AU957">
        <v>1998</v>
      </c>
      <c r="AV957">
        <v>103</v>
      </c>
      <c r="AW957" t="s">
        <v>12561</v>
      </c>
      <c r="AX957" t="s">
        <v>74</v>
      </c>
      <c r="AY957" t="s">
        <v>74</v>
      </c>
      <c r="AZ957" t="s">
        <v>74</v>
      </c>
      <c r="BA957" t="s">
        <v>74</v>
      </c>
      <c r="BB957">
        <v>6771</v>
      </c>
      <c r="BC957">
        <v>6784</v>
      </c>
      <c r="BD957" t="s">
        <v>74</v>
      </c>
      <c r="BE957" t="s">
        <v>12562</v>
      </c>
      <c r="BF957" t="str">
        <f>HYPERLINK("http://dx.doi.org/10.1029/97JA03396","http://dx.doi.org/10.1029/97JA03396")</f>
        <v>http://dx.doi.org/10.1029/97JA03396</v>
      </c>
      <c r="BG957" t="s">
        <v>74</v>
      </c>
      <c r="BH957" t="s">
        <v>74</v>
      </c>
      <c r="BI957">
        <v>14</v>
      </c>
      <c r="BJ957" t="s">
        <v>1464</v>
      </c>
      <c r="BK957" t="s">
        <v>95</v>
      </c>
      <c r="BL957" t="s">
        <v>1464</v>
      </c>
      <c r="BM957" t="s">
        <v>12563</v>
      </c>
      <c r="BN957" t="s">
        <v>74</v>
      </c>
      <c r="BO957" t="s">
        <v>1938</v>
      </c>
      <c r="BP957" t="s">
        <v>74</v>
      </c>
      <c r="BQ957" t="s">
        <v>74</v>
      </c>
      <c r="BR957" t="s">
        <v>98</v>
      </c>
      <c r="BS957" t="s">
        <v>12564</v>
      </c>
      <c r="BT957" t="str">
        <f>HYPERLINK("https%3A%2F%2Fwww.webofscience.com%2Fwos%2Fwoscc%2Ffull-record%2FWOS:000072951700026","View Full Record in Web of Science")</f>
        <v>View Full Record in Web of Science</v>
      </c>
    </row>
    <row r="958" spans="1:72" x14ac:dyDescent="0.15">
      <c r="A958" t="s">
        <v>72</v>
      </c>
      <c r="B958" t="s">
        <v>12565</v>
      </c>
      <c r="C958" t="s">
        <v>74</v>
      </c>
      <c r="D958" t="s">
        <v>74</v>
      </c>
      <c r="E958" t="s">
        <v>74</v>
      </c>
      <c r="F958" t="s">
        <v>12565</v>
      </c>
      <c r="G958" t="s">
        <v>74</v>
      </c>
      <c r="H958" t="s">
        <v>74</v>
      </c>
      <c r="I958" t="s">
        <v>12566</v>
      </c>
      <c r="J958" t="s">
        <v>1450</v>
      </c>
      <c r="K958" t="s">
        <v>74</v>
      </c>
      <c r="L958" t="s">
        <v>74</v>
      </c>
      <c r="M958" t="s">
        <v>77</v>
      </c>
      <c r="N958" t="s">
        <v>103</v>
      </c>
      <c r="O958" t="s">
        <v>74</v>
      </c>
      <c r="P958" t="s">
        <v>74</v>
      </c>
      <c r="Q958" t="s">
        <v>74</v>
      </c>
      <c r="R958" t="s">
        <v>74</v>
      </c>
      <c r="S958" t="s">
        <v>74</v>
      </c>
      <c r="T958" t="s">
        <v>74</v>
      </c>
      <c r="U958" t="s">
        <v>12567</v>
      </c>
      <c r="V958" t="s">
        <v>12568</v>
      </c>
      <c r="W958" t="s">
        <v>12569</v>
      </c>
      <c r="X958" t="s">
        <v>12570</v>
      </c>
      <c r="Y958" t="s">
        <v>6373</v>
      </c>
      <c r="Z958" t="s">
        <v>74</v>
      </c>
      <c r="AA958" t="s">
        <v>6374</v>
      </c>
      <c r="AB958" t="s">
        <v>6375</v>
      </c>
      <c r="AC958" t="s">
        <v>74</v>
      </c>
      <c r="AD958" t="s">
        <v>74</v>
      </c>
      <c r="AE958" t="s">
        <v>74</v>
      </c>
      <c r="AF958" t="s">
        <v>74</v>
      </c>
      <c r="AG958">
        <v>42</v>
      </c>
      <c r="AH958">
        <v>56</v>
      </c>
      <c r="AI958">
        <v>59</v>
      </c>
      <c r="AJ958">
        <v>0</v>
      </c>
      <c r="AK958">
        <v>1</v>
      </c>
      <c r="AL958" t="s">
        <v>966</v>
      </c>
      <c r="AM958" t="s">
        <v>967</v>
      </c>
      <c r="AN958" t="s">
        <v>968</v>
      </c>
      <c r="AO958" t="s">
        <v>74</v>
      </c>
      <c r="AP958" t="s">
        <v>74</v>
      </c>
      <c r="AQ958" t="s">
        <v>74</v>
      </c>
      <c r="AR958" t="s">
        <v>1460</v>
      </c>
      <c r="AS958" t="s">
        <v>1461</v>
      </c>
      <c r="AT958" t="s">
        <v>12382</v>
      </c>
      <c r="AU958">
        <v>1998</v>
      </c>
      <c r="AV958">
        <v>103</v>
      </c>
      <c r="AW958" t="s">
        <v>12561</v>
      </c>
      <c r="AX958" t="s">
        <v>74</v>
      </c>
      <c r="AY958" t="s">
        <v>74</v>
      </c>
      <c r="AZ958" t="s">
        <v>74</v>
      </c>
      <c r="BA958" t="s">
        <v>74</v>
      </c>
      <c r="BB958">
        <v>6969</v>
      </c>
      <c r="BC958">
        <v>6975</v>
      </c>
      <c r="BD958" t="s">
        <v>74</v>
      </c>
      <c r="BE958" t="s">
        <v>12571</v>
      </c>
      <c r="BF958" t="str">
        <f>HYPERLINK("http://dx.doi.org/10.1029/98JA00016","http://dx.doi.org/10.1029/98JA00016")</f>
        <v>http://dx.doi.org/10.1029/98JA00016</v>
      </c>
      <c r="BG958" t="s">
        <v>74</v>
      </c>
      <c r="BH958" t="s">
        <v>74</v>
      </c>
      <c r="BI958">
        <v>7</v>
      </c>
      <c r="BJ958" t="s">
        <v>1464</v>
      </c>
      <c r="BK958" t="s">
        <v>95</v>
      </c>
      <c r="BL958" t="s">
        <v>1464</v>
      </c>
      <c r="BM958" t="s">
        <v>12563</v>
      </c>
      <c r="BN958" t="s">
        <v>74</v>
      </c>
      <c r="BO958" t="s">
        <v>74</v>
      </c>
      <c r="BP958" t="s">
        <v>74</v>
      </c>
      <c r="BQ958" t="s">
        <v>74</v>
      </c>
      <c r="BR958" t="s">
        <v>98</v>
      </c>
      <c r="BS958" t="s">
        <v>12572</v>
      </c>
      <c r="BT958" t="str">
        <f>HYPERLINK("https%3A%2F%2Fwww.webofscience.com%2Fwos%2Fwoscc%2Ffull-record%2FWOS:000072951700042","View Full Record in Web of Science")</f>
        <v>View Full Record in Web of Science</v>
      </c>
    </row>
    <row r="959" spans="1:72" x14ac:dyDescent="0.15">
      <c r="A959" t="s">
        <v>72</v>
      </c>
      <c r="B959" t="s">
        <v>12573</v>
      </c>
      <c r="C959" t="s">
        <v>74</v>
      </c>
      <c r="D959" t="s">
        <v>74</v>
      </c>
      <c r="E959" t="s">
        <v>74</v>
      </c>
      <c r="F959" t="s">
        <v>12573</v>
      </c>
      <c r="G959" t="s">
        <v>74</v>
      </c>
      <c r="H959" t="s">
        <v>74</v>
      </c>
      <c r="I959" t="s">
        <v>12574</v>
      </c>
      <c r="J959" t="s">
        <v>9573</v>
      </c>
      <c r="K959" t="s">
        <v>74</v>
      </c>
      <c r="L959" t="s">
        <v>74</v>
      </c>
      <c r="M959" t="s">
        <v>77</v>
      </c>
      <c r="N959" t="s">
        <v>103</v>
      </c>
      <c r="O959" t="s">
        <v>74</v>
      </c>
      <c r="P959" t="s">
        <v>74</v>
      </c>
      <c r="Q959" t="s">
        <v>74</v>
      </c>
      <c r="R959" t="s">
        <v>74</v>
      </c>
      <c r="S959" t="s">
        <v>74</v>
      </c>
      <c r="T959" t="s">
        <v>12575</v>
      </c>
      <c r="U959" t="s">
        <v>12576</v>
      </c>
      <c r="V959" t="s">
        <v>12577</v>
      </c>
      <c r="W959" t="s">
        <v>12578</v>
      </c>
      <c r="X959" t="s">
        <v>12579</v>
      </c>
      <c r="Y959" t="s">
        <v>12580</v>
      </c>
      <c r="Z959" t="s">
        <v>74</v>
      </c>
      <c r="AA959" t="s">
        <v>12581</v>
      </c>
      <c r="AB959" t="s">
        <v>12582</v>
      </c>
      <c r="AC959" t="s">
        <v>74</v>
      </c>
      <c r="AD959" t="s">
        <v>74</v>
      </c>
      <c r="AE959" t="s">
        <v>74</v>
      </c>
      <c r="AF959" t="s">
        <v>74</v>
      </c>
      <c r="AG959">
        <v>86</v>
      </c>
      <c r="AH959">
        <v>107</v>
      </c>
      <c r="AI959">
        <v>113</v>
      </c>
      <c r="AJ959">
        <v>1</v>
      </c>
      <c r="AK959">
        <v>5</v>
      </c>
      <c r="AL959" t="s">
        <v>4439</v>
      </c>
      <c r="AM959" t="s">
        <v>229</v>
      </c>
      <c r="AN959" t="s">
        <v>4440</v>
      </c>
      <c r="AO959" t="s">
        <v>9583</v>
      </c>
      <c r="AP959" t="s">
        <v>12583</v>
      </c>
      <c r="AQ959" t="s">
        <v>74</v>
      </c>
      <c r="AR959" t="s">
        <v>9584</v>
      </c>
      <c r="AS959" t="s">
        <v>9585</v>
      </c>
      <c r="AT959" t="s">
        <v>12254</v>
      </c>
      <c r="AU959">
        <v>1998</v>
      </c>
      <c r="AV959">
        <v>39</v>
      </c>
      <c r="AW959">
        <v>4</v>
      </c>
      <c r="AX959" t="s">
        <v>74</v>
      </c>
      <c r="AY959" t="s">
        <v>74</v>
      </c>
      <c r="AZ959" t="s">
        <v>74</v>
      </c>
      <c r="BA959" t="s">
        <v>74</v>
      </c>
      <c r="BB959">
        <v>711</v>
      </c>
      <c r="BC959">
        <v>748</v>
      </c>
      <c r="BD959" t="s">
        <v>74</v>
      </c>
      <c r="BE959" t="s">
        <v>12584</v>
      </c>
      <c r="BF959" t="str">
        <f>HYPERLINK("http://dx.doi.org/10.1093/petroj/39.4.711","http://dx.doi.org/10.1093/petroj/39.4.711")</f>
        <v>http://dx.doi.org/10.1093/petroj/39.4.711</v>
      </c>
      <c r="BG959" t="s">
        <v>74</v>
      </c>
      <c r="BH959" t="s">
        <v>74</v>
      </c>
      <c r="BI959">
        <v>38</v>
      </c>
      <c r="BJ959" t="s">
        <v>303</v>
      </c>
      <c r="BK959" t="s">
        <v>95</v>
      </c>
      <c r="BL959" t="s">
        <v>303</v>
      </c>
      <c r="BM959" t="s">
        <v>12585</v>
      </c>
      <c r="BN959" t="s">
        <v>74</v>
      </c>
      <c r="BO959" t="s">
        <v>1089</v>
      </c>
      <c r="BP959" t="s">
        <v>74</v>
      </c>
      <c r="BQ959" t="s">
        <v>74</v>
      </c>
      <c r="BR959" t="s">
        <v>98</v>
      </c>
      <c r="BS959" t="s">
        <v>12586</v>
      </c>
      <c r="BT959" t="str">
        <f>HYPERLINK("https%3A%2F%2Fwww.webofscience.com%2Fwos%2Fwoscc%2Ffull-record%2FWOS:000073111000006","View Full Record in Web of Science")</f>
        <v>View Full Record in Web of Science</v>
      </c>
    </row>
    <row r="960" spans="1:72" x14ac:dyDescent="0.15">
      <c r="A960" t="s">
        <v>72</v>
      </c>
      <c r="B960" t="s">
        <v>12587</v>
      </c>
      <c r="C960" t="s">
        <v>74</v>
      </c>
      <c r="D960" t="s">
        <v>74</v>
      </c>
      <c r="E960" t="s">
        <v>74</v>
      </c>
      <c r="F960" t="s">
        <v>12587</v>
      </c>
      <c r="G960" t="s">
        <v>74</v>
      </c>
      <c r="H960" t="s">
        <v>74</v>
      </c>
      <c r="I960" t="s">
        <v>12588</v>
      </c>
      <c r="J960" t="s">
        <v>4431</v>
      </c>
      <c r="K960" t="s">
        <v>74</v>
      </c>
      <c r="L960" t="s">
        <v>74</v>
      </c>
      <c r="M960" t="s">
        <v>77</v>
      </c>
      <c r="N960" t="s">
        <v>103</v>
      </c>
      <c r="O960" t="s">
        <v>74</v>
      </c>
      <c r="P960" t="s">
        <v>74</v>
      </c>
      <c r="Q960" t="s">
        <v>74</v>
      </c>
      <c r="R960" t="s">
        <v>74</v>
      </c>
      <c r="S960" t="s">
        <v>74</v>
      </c>
      <c r="T960" t="s">
        <v>74</v>
      </c>
      <c r="U960" t="s">
        <v>12589</v>
      </c>
      <c r="V960" t="s">
        <v>12590</v>
      </c>
      <c r="W960" t="s">
        <v>1617</v>
      </c>
      <c r="X960" t="s">
        <v>1618</v>
      </c>
      <c r="Y960" t="s">
        <v>5914</v>
      </c>
      <c r="Z960" t="s">
        <v>74</v>
      </c>
      <c r="AA960" t="s">
        <v>1621</v>
      </c>
      <c r="AB960" t="s">
        <v>1622</v>
      </c>
      <c r="AC960" t="s">
        <v>74</v>
      </c>
      <c r="AD960" t="s">
        <v>74</v>
      </c>
      <c r="AE960" t="s">
        <v>74</v>
      </c>
      <c r="AF960" t="s">
        <v>74</v>
      </c>
      <c r="AG960">
        <v>43</v>
      </c>
      <c r="AH960">
        <v>22</v>
      </c>
      <c r="AI960">
        <v>25</v>
      </c>
      <c r="AJ960">
        <v>0</v>
      </c>
      <c r="AK960">
        <v>3</v>
      </c>
      <c r="AL960" t="s">
        <v>4439</v>
      </c>
      <c r="AM960" t="s">
        <v>229</v>
      </c>
      <c r="AN960" t="s">
        <v>4440</v>
      </c>
      <c r="AO960" t="s">
        <v>4441</v>
      </c>
      <c r="AP960" t="s">
        <v>74</v>
      </c>
      <c r="AQ960" t="s">
        <v>74</v>
      </c>
      <c r="AR960" t="s">
        <v>4442</v>
      </c>
      <c r="AS960" t="s">
        <v>4443</v>
      </c>
      <c r="AT960" t="s">
        <v>12254</v>
      </c>
      <c r="AU960">
        <v>1998</v>
      </c>
      <c r="AV960">
        <v>20</v>
      </c>
      <c r="AW960">
        <v>4</v>
      </c>
      <c r="AX960" t="s">
        <v>74</v>
      </c>
      <c r="AY960" t="s">
        <v>74</v>
      </c>
      <c r="AZ960" t="s">
        <v>74</v>
      </c>
      <c r="BA960" t="s">
        <v>74</v>
      </c>
      <c r="BB960">
        <v>653</v>
      </c>
      <c r="BC960">
        <v>669</v>
      </c>
      <c r="BD960" t="s">
        <v>74</v>
      </c>
      <c r="BE960" t="s">
        <v>12591</v>
      </c>
      <c r="BF960" t="str">
        <f>HYPERLINK("http://dx.doi.org/10.1093/plankt/20.4.653","http://dx.doi.org/10.1093/plankt/20.4.653")</f>
        <v>http://dx.doi.org/10.1093/plankt/20.4.653</v>
      </c>
      <c r="BG960" t="s">
        <v>74</v>
      </c>
      <c r="BH960" t="s">
        <v>74</v>
      </c>
      <c r="BI960">
        <v>17</v>
      </c>
      <c r="BJ960" t="s">
        <v>1128</v>
      </c>
      <c r="BK960" t="s">
        <v>95</v>
      </c>
      <c r="BL960" t="s">
        <v>1128</v>
      </c>
      <c r="BM960" t="s">
        <v>12592</v>
      </c>
      <c r="BN960" t="s">
        <v>74</v>
      </c>
      <c r="BO960" t="s">
        <v>1089</v>
      </c>
      <c r="BP960" t="s">
        <v>74</v>
      </c>
      <c r="BQ960" t="s">
        <v>74</v>
      </c>
      <c r="BR960" t="s">
        <v>98</v>
      </c>
      <c r="BS960" t="s">
        <v>12593</v>
      </c>
      <c r="BT960" t="str">
        <f>HYPERLINK("https%3A%2F%2Fwww.webofscience.com%2Fwos%2Fwoscc%2Ffull-record%2FWOS:000073780300004","View Full Record in Web of Science")</f>
        <v>View Full Record in Web of Science</v>
      </c>
    </row>
    <row r="961" spans="1:72" x14ac:dyDescent="0.15">
      <c r="A961" t="s">
        <v>72</v>
      </c>
      <c r="B961" t="s">
        <v>12594</v>
      </c>
      <c r="C961" t="s">
        <v>74</v>
      </c>
      <c r="D961" t="s">
        <v>74</v>
      </c>
      <c r="E961" t="s">
        <v>74</v>
      </c>
      <c r="F961" t="s">
        <v>12594</v>
      </c>
      <c r="G961" t="s">
        <v>74</v>
      </c>
      <c r="H961" t="s">
        <v>74</v>
      </c>
      <c r="I961" t="s">
        <v>12595</v>
      </c>
      <c r="J961" t="s">
        <v>12596</v>
      </c>
      <c r="K961" t="s">
        <v>74</v>
      </c>
      <c r="L961" t="s">
        <v>74</v>
      </c>
      <c r="M961" t="s">
        <v>77</v>
      </c>
      <c r="N961" t="s">
        <v>78</v>
      </c>
      <c r="O961" t="s">
        <v>74</v>
      </c>
      <c r="P961" t="s">
        <v>74</v>
      </c>
      <c r="Q961" t="s">
        <v>74</v>
      </c>
      <c r="R961" t="s">
        <v>74</v>
      </c>
      <c r="S961" t="s">
        <v>74</v>
      </c>
      <c r="T961" t="s">
        <v>12597</v>
      </c>
      <c r="U961" t="s">
        <v>12598</v>
      </c>
      <c r="V961" t="s">
        <v>12599</v>
      </c>
      <c r="W961" t="s">
        <v>12600</v>
      </c>
      <c r="X961" t="s">
        <v>12601</v>
      </c>
      <c r="Y961" t="s">
        <v>12602</v>
      </c>
      <c r="Z961" t="s">
        <v>12603</v>
      </c>
      <c r="AA961" t="s">
        <v>74</v>
      </c>
      <c r="AB961" t="s">
        <v>947</v>
      </c>
      <c r="AC961" t="s">
        <v>74</v>
      </c>
      <c r="AD961" t="s">
        <v>74</v>
      </c>
      <c r="AE961" t="s">
        <v>74</v>
      </c>
      <c r="AF961" t="s">
        <v>74</v>
      </c>
      <c r="AG961">
        <v>112</v>
      </c>
      <c r="AH961">
        <v>309</v>
      </c>
      <c r="AI961">
        <v>359</v>
      </c>
      <c r="AJ961">
        <v>0</v>
      </c>
      <c r="AK961">
        <v>22</v>
      </c>
      <c r="AL961" t="s">
        <v>1037</v>
      </c>
      <c r="AM961" t="s">
        <v>1038</v>
      </c>
      <c r="AN961" t="s">
        <v>1039</v>
      </c>
      <c r="AO961" t="s">
        <v>12604</v>
      </c>
      <c r="AP961" t="s">
        <v>74</v>
      </c>
      <c r="AQ961" t="s">
        <v>74</v>
      </c>
      <c r="AR961" t="s">
        <v>12605</v>
      </c>
      <c r="AS961" t="s">
        <v>12606</v>
      </c>
      <c r="AT961" t="s">
        <v>12254</v>
      </c>
      <c r="AU961">
        <v>1998</v>
      </c>
      <c r="AV961">
        <v>81</v>
      </c>
      <c r="AW961" t="s">
        <v>412</v>
      </c>
      <c r="AX961" t="s">
        <v>74</v>
      </c>
      <c r="AY961" t="s">
        <v>74</v>
      </c>
      <c r="AZ961" t="s">
        <v>74</v>
      </c>
      <c r="BA961" t="s">
        <v>74</v>
      </c>
      <c r="BB961">
        <v>113</v>
      </c>
      <c r="BC961">
        <v>136</v>
      </c>
      <c r="BD961" t="s">
        <v>74</v>
      </c>
      <c r="BE961" t="s">
        <v>12607</v>
      </c>
      <c r="BF961" t="str">
        <f>HYPERLINK("http://dx.doi.org/10.1016/S0377-0273(97)00070-X","http://dx.doi.org/10.1016/S0377-0273(97)00070-X")</f>
        <v>http://dx.doi.org/10.1016/S0377-0273(97)00070-X</v>
      </c>
      <c r="BG961" t="s">
        <v>74</v>
      </c>
      <c r="BH961" t="s">
        <v>74</v>
      </c>
      <c r="BI961">
        <v>24</v>
      </c>
      <c r="BJ961" t="s">
        <v>192</v>
      </c>
      <c r="BK961" t="s">
        <v>95</v>
      </c>
      <c r="BL961" t="s">
        <v>193</v>
      </c>
      <c r="BM961" t="s">
        <v>12608</v>
      </c>
      <c r="BN961" t="s">
        <v>74</v>
      </c>
      <c r="BO961" t="s">
        <v>74</v>
      </c>
      <c r="BP961" t="s">
        <v>74</v>
      </c>
      <c r="BQ961" t="s">
        <v>74</v>
      </c>
      <c r="BR961" t="s">
        <v>98</v>
      </c>
      <c r="BS961" t="s">
        <v>12609</v>
      </c>
      <c r="BT961" t="str">
        <f>HYPERLINK("https%3A%2F%2Fwww.webofscience.com%2Fwos%2Fwoscc%2Ffull-record%2FWOS:000073711800007","View Full Record in Web of Science")</f>
        <v>View Full Record in Web of Science</v>
      </c>
    </row>
    <row r="962" spans="1:72" x14ac:dyDescent="0.15">
      <c r="A962" t="s">
        <v>72</v>
      </c>
      <c r="B962" t="s">
        <v>12610</v>
      </c>
      <c r="C962" t="s">
        <v>74</v>
      </c>
      <c r="D962" t="s">
        <v>74</v>
      </c>
      <c r="E962" t="s">
        <v>74</v>
      </c>
      <c r="F962" t="s">
        <v>12610</v>
      </c>
      <c r="G962" t="s">
        <v>74</v>
      </c>
      <c r="H962" t="s">
        <v>74</v>
      </c>
      <c r="I962" t="s">
        <v>12611</v>
      </c>
      <c r="J962" t="s">
        <v>12612</v>
      </c>
      <c r="K962" t="s">
        <v>74</v>
      </c>
      <c r="L962" t="s">
        <v>74</v>
      </c>
      <c r="M962" t="s">
        <v>77</v>
      </c>
      <c r="N962" t="s">
        <v>123</v>
      </c>
      <c r="O962" t="s">
        <v>12613</v>
      </c>
      <c r="P962" t="s">
        <v>12614</v>
      </c>
      <c r="Q962" t="s">
        <v>12615</v>
      </c>
      <c r="R962" t="s">
        <v>74</v>
      </c>
      <c r="S962" t="s">
        <v>74</v>
      </c>
      <c r="T962" t="s">
        <v>12616</v>
      </c>
      <c r="U962" t="s">
        <v>12617</v>
      </c>
      <c r="V962" t="s">
        <v>12618</v>
      </c>
      <c r="W962" t="s">
        <v>12619</v>
      </c>
      <c r="X962" t="s">
        <v>74</v>
      </c>
      <c r="Y962" t="s">
        <v>12620</v>
      </c>
      <c r="Z962" t="s">
        <v>74</v>
      </c>
      <c r="AA962" t="s">
        <v>74</v>
      </c>
      <c r="AB962" t="s">
        <v>74</v>
      </c>
      <c r="AC962" t="s">
        <v>74</v>
      </c>
      <c r="AD962" t="s">
        <v>74</v>
      </c>
      <c r="AE962" t="s">
        <v>74</v>
      </c>
      <c r="AF962" t="s">
        <v>74</v>
      </c>
      <c r="AG962">
        <v>11</v>
      </c>
      <c r="AH962">
        <v>30</v>
      </c>
      <c r="AI962">
        <v>37</v>
      </c>
      <c r="AJ962">
        <v>2</v>
      </c>
      <c r="AK962">
        <v>12</v>
      </c>
      <c r="AL962" t="s">
        <v>1037</v>
      </c>
      <c r="AM962" t="s">
        <v>1038</v>
      </c>
      <c r="AN962" t="s">
        <v>1039</v>
      </c>
      <c r="AO962" t="s">
        <v>12621</v>
      </c>
      <c r="AP962" t="s">
        <v>74</v>
      </c>
      <c r="AQ962" t="s">
        <v>74</v>
      </c>
      <c r="AR962" t="s">
        <v>12622</v>
      </c>
      <c r="AS962" t="s">
        <v>12623</v>
      </c>
      <c r="AT962" t="s">
        <v>12624</v>
      </c>
      <c r="AU962">
        <v>1998</v>
      </c>
      <c r="AV962" t="s">
        <v>12625</v>
      </c>
      <c r="AW962" t="s">
        <v>74</v>
      </c>
      <c r="AX962" t="s">
        <v>74</v>
      </c>
      <c r="AY962" t="s">
        <v>74</v>
      </c>
      <c r="AZ962" t="s">
        <v>74</v>
      </c>
      <c r="BA962" t="s">
        <v>74</v>
      </c>
      <c r="BB962">
        <v>567</v>
      </c>
      <c r="BC962">
        <v>576</v>
      </c>
      <c r="BD962" t="s">
        <v>74</v>
      </c>
      <c r="BE962" t="s">
        <v>12626</v>
      </c>
      <c r="BF962" t="str">
        <f>HYPERLINK("http://dx.doi.org/10.1016/S0167-6105(98)00051-8","http://dx.doi.org/10.1016/S0167-6105(98)00051-8")</f>
        <v>http://dx.doi.org/10.1016/S0167-6105(98)00051-8</v>
      </c>
      <c r="BG962" t="s">
        <v>74</v>
      </c>
      <c r="BH962" t="s">
        <v>74</v>
      </c>
      <c r="BI962">
        <v>10</v>
      </c>
      <c r="BJ962" t="s">
        <v>12627</v>
      </c>
      <c r="BK962" t="s">
        <v>235</v>
      </c>
      <c r="BL962" t="s">
        <v>12628</v>
      </c>
      <c r="BM962" t="s">
        <v>12629</v>
      </c>
      <c r="BN962" t="s">
        <v>74</v>
      </c>
      <c r="BO962" t="s">
        <v>74</v>
      </c>
      <c r="BP962" t="s">
        <v>74</v>
      </c>
      <c r="BQ962" t="s">
        <v>74</v>
      </c>
      <c r="BR962" t="s">
        <v>98</v>
      </c>
      <c r="BS962" t="s">
        <v>12630</v>
      </c>
      <c r="BT962" t="str">
        <f>HYPERLINK("https%3A%2F%2Fwww.webofscience.com%2Fwos%2Fwoscc%2Ffull-record%2FWOS:000075383400049","View Full Record in Web of Science")</f>
        <v>View Full Record in Web of Science</v>
      </c>
    </row>
    <row r="963" spans="1:72" x14ac:dyDescent="0.15">
      <c r="A963" t="s">
        <v>72</v>
      </c>
      <c r="B963" t="s">
        <v>12631</v>
      </c>
      <c r="C963" t="s">
        <v>74</v>
      </c>
      <c r="D963" t="s">
        <v>74</v>
      </c>
      <c r="E963" t="s">
        <v>74</v>
      </c>
      <c r="F963" t="s">
        <v>12631</v>
      </c>
      <c r="G963" t="s">
        <v>74</v>
      </c>
      <c r="H963" t="s">
        <v>74</v>
      </c>
      <c r="I963" t="s">
        <v>12632</v>
      </c>
      <c r="J963" t="s">
        <v>1842</v>
      </c>
      <c r="K963" t="s">
        <v>74</v>
      </c>
      <c r="L963" t="s">
        <v>74</v>
      </c>
      <c r="M963" t="s">
        <v>77</v>
      </c>
      <c r="N963" t="s">
        <v>78</v>
      </c>
      <c r="O963" t="s">
        <v>74</v>
      </c>
      <c r="P963" t="s">
        <v>74</v>
      </c>
      <c r="Q963" t="s">
        <v>74</v>
      </c>
      <c r="R963" t="s">
        <v>74</v>
      </c>
      <c r="S963" t="s">
        <v>74</v>
      </c>
      <c r="T963" t="s">
        <v>74</v>
      </c>
      <c r="U963" t="s">
        <v>12633</v>
      </c>
      <c r="V963" t="s">
        <v>12634</v>
      </c>
      <c r="W963" t="s">
        <v>12635</v>
      </c>
      <c r="X963" t="s">
        <v>12636</v>
      </c>
      <c r="Y963" t="s">
        <v>12637</v>
      </c>
      <c r="Z963" t="s">
        <v>74</v>
      </c>
      <c r="AA963" t="s">
        <v>74</v>
      </c>
      <c r="AB963" t="s">
        <v>12638</v>
      </c>
      <c r="AC963" t="s">
        <v>74</v>
      </c>
      <c r="AD963" t="s">
        <v>74</v>
      </c>
      <c r="AE963" t="s">
        <v>74</v>
      </c>
      <c r="AF963" t="s">
        <v>74</v>
      </c>
      <c r="AG963">
        <v>104</v>
      </c>
      <c r="AH963">
        <v>17</v>
      </c>
      <c r="AI963">
        <v>18</v>
      </c>
      <c r="AJ963">
        <v>0</v>
      </c>
      <c r="AK963">
        <v>3</v>
      </c>
      <c r="AL963" t="s">
        <v>887</v>
      </c>
      <c r="AM963" t="s">
        <v>278</v>
      </c>
      <c r="AN963" t="s">
        <v>888</v>
      </c>
      <c r="AO963" t="s">
        <v>1848</v>
      </c>
      <c r="AP963" t="s">
        <v>74</v>
      </c>
      <c r="AQ963" t="s">
        <v>74</v>
      </c>
      <c r="AR963" t="s">
        <v>1849</v>
      </c>
      <c r="AS963" t="s">
        <v>1850</v>
      </c>
      <c r="AT963" t="s">
        <v>12254</v>
      </c>
      <c r="AU963">
        <v>1998</v>
      </c>
      <c r="AV963">
        <v>131</v>
      </c>
      <c r="AW963">
        <v>1</v>
      </c>
      <c r="AX963" t="s">
        <v>74</v>
      </c>
      <c r="AY963" t="s">
        <v>74</v>
      </c>
      <c r="AZ963" t="s">
        <v>74</v>
      </c>
      <c r="BA963" t="s">
        <v>74</v>
      </c>
      <c r="BB963">
        <v>1</v>
      </c>
      <c r="BC963">
        <v>13</v>
      </c>
      <c r="BD963" t="s">
        <v>74</v>
      </c>
      <c r="BE963" t="s">
        <v>12639</v>
      </c>
      <c r="BF963" t="str">
        <f>HYPERLINK("http://dx.doi.org/10.1007/s002270050290","http://dx.doi.org/10.1007/s002270050290")</f>
        <v>http://dx.doi.org/10.1007/s002270050290</v>
      </c>
      <c r="BG963" t="s">
        <v>74</v>
      </c>
      <c r="BH963" t="s">
        <v>74</v>
      </c>
      <c r="BI963">
        <v>13</v>
      </c>
      <c r="BJ963" t="s">
        <v>212</v>
      </c>
      <c r="BK963" t="s">
        <v>95</v>
      </c>
      <c r="BL963" t="s">
        <v>212</v>
      </c>
      <c r="BM963" t="s">
        <v>12640</v>
      </c>
      <c r="BN963" t="s">
        <v>74</v>
      </c>
      <c r="BO963" t="s">
        <v>74</v>
      </c>
      <c r="BP963" t="s">
        <v>74</v>
      </c>
      <c r="BQ963" t="s">
        <v>74</v>
      </c>
      <c r="BR963" t="s">
        <v>98</v>
      </c>
      <c r="BS963" t="s">
        <v>12641</v>
      </c>
      <c r="BT963" t="str">
        <f>HYPERLINK("https%3A%2F%2Fwww.webofscience.com%2Fwos%2Fwoscc%2Ffull-record%2FWOS:000073613500001","View Full Record in Web of Science")</f>
        <v>View Full Record in Web of Science</v>
      </c>
    </row>
    <row r="964" spans="1:72" x14ac:dyDescent="0.15">
      <c r="A964" t="s">
        <v>72</v>
      </c>
      <c r="B964" t="s">
        <v>12642</v>
      </c>
      <c r="C964" t="s">
        <v>74</v>
      </c>
      <c r="D964" t="s">
        <v>74</v>
      </c>
      <c r="E964" t="s">
        <v>74</v>
      </c>
      <c r="F964" t="s">
        <v>12642</v>
      </c>
      <c r="G964" t="s">
        <v>74</v>
      </c>
      <c r="H964" t="s">
        <v>74</v>
      </c>
      <c r="I964" t="s">
        <v>12643</v>
      </c>
      <c r="J964" t="s">
        <v>1842</v>
      </c>
      <c r="K964" t="s">
        <v>74</v>
      </c>
      <c r="L964" t="s">
        <v>74</v>
      </c>
      <c r="M964" t="s">
        <v>77</v>
      </c>
      <c r="N964" t="s">
        <v>103</v>
      </c>
      <c r="O964" t="s">
        <v>74</v>
      </c>
      <c r="P964" t="s">
        <v>74</v>
      </c>
      <c r="Q964" t="s">
        <v>74</v>
      </c>
      <c r="R964" t="s">
        <v>74</v>
      </c>
      <c r="S964" t="s">
        <v>74</v>
      </c>
      <c r="T964" t="s">
        <v>74</v>
      </c>
      <c r="U964" t="s">
        <v>12644</v>
      </c>
      <c r="V964" t="s">
        <v>12645</v>
      </c>
      <c r="W964" t="s">
        <v>12646</v>
      </c>
      <c r="X964" t="s">
        <v>12647</v>
      </c>
      <c r="Y964" t="s">
        <v>12648</v>
      </c>
      <c r="Z964" t="s">
        <v>74</v>
      </c>
      <c r="AA964" t="s">
        <v>74</v>
      </c>
      <c r="AB964" t="s">
        <v>74</v>
      </c>
      <c r="AC964" t="s">
        <v>74</v>
      </c>
      <c r="AD964" t="s">
        <v>74</v>
      </c>
      <c r="AE964" t="s">
        <v>74</v>
      </c>
      <c r="AF964" t="s">
        <v>74</v>
      </c>
      <c r="AG964">
        <v>46</v>
      </c>
      <c r="AH964">
        <v>7</v>
      </c>
      <c r="AI964">
        <v>7</v>
      </c>
      <c r="AJ964">
        <v>0</v>
      </c>
      <c r="AK964">
        <v>7</v>
      </c>
      <c r="AL964" t="s">
        <v>805</v>
      </c>
      <c r="AM964" t="s">
        <v>278</v>
      </c>
      <c r="AN964" t="s">
        <v>806</v>
      </c>
      <c r="AO964" t="s">
        <v>1848</v>
      </c>
      <c r="AP964" t="s">
        <v>74</v>
      </c>
      <c r="AQ964" t="s">
        <v>74</v>
      </c>
      <c r="AR964" t="s">
        <v>1849</v>
      </c>
      <c r="AS964" t="s">
        <v>1850</v>
      </c>
      <c r="AT964" t="s">
        <v>12254</v>
      </c>
      <c r="AU964">
        <v>1998</v>
      </c>
      <c r="AV964">
        <v>131</v>
      </c>
      <c r="AW964">
        <v>1</v>
      </c>
      <c r="AX964" t="s">
        <v>74</v>
      </c>
      <c r="AY964" t="s">
        <v>74</v>
      </c>
      <c r="AZ964" t="s">
        <v>74</v>
      </c>
      <c r="BA964" t="s">
        <v>74</v>
      </c>
      <c r="BB964">
        <v>15</v>
      </c>
      <c r="BC964">
        <v>23</v>
      </c>
      <c r="BD964" t="s">
        <v>74</v>
      </c>
      <c r="BE964" t="s">
        <v>12649</v>
      </c>
      <c r="BF964" t="str">
        <f>HYPERLINK("http://dx.doi.org/10.1007/s002270050291","http://dx.doi.org/10.1007/s002270050291")</f>
        <v>http://dx.doi.org/10.1007/s002270050291</v>
      </c>
      <c r="BG964" t="s">
        <v>74</v>
      </c>
      <c r="BH964" t="s">
        <v>74</v>
      </c>
      <c r="BI964">
        <v>9</v>
      </c>
      <c r="BJ964" t="s">
        <v>212</v>
      </c>
      <c r="BK964" t="s">
        <v>95</v>
      </c>
      <c r="BL964" t="s">
        <v>212</v>
      </c>
      <c r="BM964" t="s">
        <v>12640</v>
      </c>
      <c r="BN964" t="s">
        <v>74</v>
      </c>
      <c r="BO964" t="s">
        <v>74</v>
      </c>
      <c r="BP964" t="s">
        <v>74</v>
      </c>
      <c r="BQ964" t="s">
        <v>74</v>
      </c>
      <c r="BR964" t="s">
        <v>98</v>
      </c>
      <c r="BS964" t="s">
        <v>12650</v>
      </c>
      <c r="BT964" t="str">
        <f>HYPERLINK("https%3A%2F%2Fwww.webofscience.com%2Fwos%2Fwoscc%2Ffull-record%2FWOS:000073613500002","View Full Record in Web of Science")</f>
        <v>View Full Record in Web of Science</v>
      </c>
    </row>
    <row r="965" spans="1:72" x14ac:dyDescent="0.15">
      <c r="A965" t="s">
        <v>72</v>
      </c>
      <c r="B965" t="s">
        <v>5490</v>
      </c>
      <c r="C965" t="s">
        <v>74</v>
      </c>
      <c r="D965" t="s">
        <v>74</v>
      </c>
      <c r="E965" t="s">
        <v>74</v>
      </c>
      <c r="F965" t="s">
        <v>5490</v>
      </c>
      <c r="G965" t="s">
        <v>74</v>
      </c>
      <c r="H965" t="s">
        <v>74</v>
      </c>
      <c r="I965" t="s">
        <v>12651</v>
      </c>
      <c r="J965" t="s">
        <v>1842</v>
      </c>
      <c r="K965" t="s">
        <v>74</v>
      </c>
      <c r="L965" t="s">
        <v>74</v>
      </c>
      <c r="M965" t="s">
        <v>77</v>
      </c>
      <c r="N965" t="s">
        <v>103</v>
      </c>
      <c r="O965" t="s">
        <v>74</v>
      </c>
      <c r="P965" t="s">
        <v>74</v>
      </c>
      <c r="Q965" t="s">
        <v>74</v>
      </c>
      <c r="R965" t="s">
        <v>74</v>
      </c>
      <c r="S965" t="s">
        <v>74</v>
      </c>
      <c r="T965" t="s">
        <v>74</v>
      </c>
      <c r="U965" t="s">
        <v>12652</v>
      </c>
      <c r="V965" t="s">
        <v>12653</v>
      </c>
      <c r="W965" t="s">
        <v>12654</v>
      </c>
      <c r="X965" t="s">
        <v>12655</v>
      </c>
      <c r="Y965" t="s">
        <v>12656</v>
      </c>
      <c r="Z965" t="s">
        <v>74</v>
      </c>
      <c r="AA965" t="s">
        <v>74</v>
      </c>
      <c r="AB965" t="s">
        <v>74</v>
      </c>
      <c r="AC965" t="s">
        <v>74</v>
      </c>
      <c r="AD965" t="s">
        <v>74</v>
      </c>
      <c r="AE965" t="s">
        <v>74</v>
      </c>
      <c r="AF965" t="s">
        <v>74</v>
      </c>
      <c r="AG965">
        <v>64</v>
      </c>
      <c r="AH965">
        <v>91</v>
      </c>
      <c r="AI965">
        <v>99</v>
      </c>
      <c r="AJ965">
        <v>0</v>
      </c>
      <c r="AK965">
        <v>18</v>
      </c>
      <c r="AL965" t="s">
        <v>887</v>
      </c>
      <c r="AM965" t="s">
        <v>278</v>
      </c>
      <c r="AN965" t="s">
        <v>888</v>
      </c>
      <c r="AO965" t="s">
        <v>1848</v>
      </c>
      <c r="AP965" t="s">
        <v>74</v>
      </c>
      <c r="AQ965" t="s">
        <v>74</v>
      </c>
      <c r="AR965" t="s">
        <v>1849</v>
      </c>
      <c r="AS965" t="s">
        <v>1850</v>
      </c>
      <c r="AT965" t="s">
        <v>12254</v>
      </c>
      <c r="AU965">
        <v>1998</v>
      </c>
      <c r="AV965">
        <v>131</v>
      </c>
      <c r="AW965">
        <v>1</v>
      </c>
      <c r="AX965" t="s">
        <v>74</v>
      </c>
      <c r="AY965" t="s">
        <v>74</v>
      </c>
      <c r="AZ965" t="s">
        <v>74</v>
      </c>
      <c r="BA965" t="s">
        <v>74</v>
      </c>
      <c r="BB965">
        <v>25</v>
      </c>
      <c r="BC965">
        <v>32</v>
      </c>
      <c r="BD965" t="s">
        <v>74</v>
      </c>
      <c r="BE965" t="s">
        <v>12657</v>
      </c>
      <c r="BF965" t="str">
        <f>HYPERLINK("http://dx.doi.org/10.1007/s002270050292","http://dx.doi.org/10.1007/s002270050292")</f>
        <v>http://dx.doi.org/10.1007/s002270050292</v>
      </c>
      <c r="BG965" t="s">
        <v>74</v>
      </c>
      <c r="BH965" t="s">
        <v>74</v>
      </c>
      <c r="BI965">
        <v>8</v>
      </c>
      <c r="BJ965" t="s">
        <v>212</v>
      </c>
      <c r="BK965" t="s">
        <v>95</v>
      </c>
      <c r="BL965" t="s">
        <v>212</v>
      </c>
      <c r="BM965" t="s">
        <v>12640</v>
      </c>
      <c r="BN965" t="s">
        <v>74</v>
      </c>
      <c r="BO965" t="s">
        <v>74</v>
      </c>
      <c r="BP965" t="s">
        <v>74</v>
      </c>
      <c r="BQ965" t="s">
        <v>74</v>
      </c>
      <c r="BR965" t="s">
        <v>98</v>
      </c>
      <c r="BS965" t="s">
        <v>12658</v>
      </c>
      <c r="BT965" t="str">
        <f>HYPERLINK("https%3A%2F%2Fwww.webofscience.com%2Fwos%2Fwoscc%2Ffull-record%2FWOS:000073613500003","View Full Record in Web of Science")</f>
        <v>View Full Record in Web of Science</v>
      </c>
    </row>
    <row r="966" spans="1:72" x14ac:dyDescent="0.15">
      <c r="A966" t="s">
        <v>72</v>
      </c>
      <c r="B966" t="s">
        <v>12659</v>
      </c>
      <c r="C966" t="s">
        <v>74</v>
      </c>
      <c r="D966" t="s">
        <v>74</v>
      </c>
      <c r="E966" t="s">
        <v>74</v>
      </c>
      <c r="F966" t="s">
        <v>12659</v>
      </c>
      <c r="G966" t="s">
        <v>74</v>
      </c>
      <c r="H966" t="s">
        <v>74</v>
      </c>
      <c r="I966" t="s">
        <v>12660</v>
      </c>
      <c r="J966" t="s">
        <v>1842</v>
      </c>
      <c r="K966" t="s">
        <v>74</v>
      </c>
      <c r="L966" t="s">
        <v>74</v>
      </c>
      <c r="M966" t="s">
        <v>77</v>
      </c>
      <c r="N966" t="s">
        <v>103</v>
      </c>
      <c r="O966" t="s">
        <v>74</v>
      </c>
      <c r="P966" t="s">
        <v>74</v>
      </c>
      <c r="Q966" t="s">
        <v>74</v>
      </c>
      <c r="R966" t="s">
        <v>74</v>
      </c>
      <c r="S966" t="s">
        <v>74</v>
      </c>
      <c r="T966" t="s">
        <v>74</v>
      </c>
      <c r="U966" t="s">
        <v>12661</v>
      </c>
      <c r="V966" t="s">
        <v>12662</v>
      </c>
      <c r="W966" t="s">
        <v>12663</v>
      </c>
      <c r="X966" t="s">
        <v>12664</v>
      </c>
      <c r="Y966" t="s">
        <v>5914</v>
      </c>
      <c r="Z966" t="s">
        <v>74</v>
      </c>
      <c r="AA966" t="s">
        <v>1621</v>
      </c>
      <c r="AB966" t="s">
        <v>1622</v>
      </c>
      <c r="AC966" t="s">
        <v>74</v>
      </c>
      <c r="AD966" t="s">
        <v>74</v>
      </c>
      <c r="AE966" t="s">
        <v>74</v>
      </c>
      <c r="AF966" t="s">
        <v>74</v>
      </c>
      <c r="AG966">
        <v>34</v>
      </c>
      <c r="AH966">
        <v>36</v>
      </c>
      <c r="AI966">
        <v>39</v>
      </c>
      <c r="AJ966">
        <v>0</v>
      </c>
      <c r="AK966">
        <v>9</v>
      </c>
      <c r="AL966" t="s">
        <v>887</v>
      </c>
      <c r="AM966" t="s">
        <v>278</v>
      </c>
      <c r="AN966" t="s">
        <v>888</v>
      </c>
      <c r="AO966" t="s">
        <v>1848</v>
      </c>
      <c r="AP966" t="s">
        <v>74</v>
      </c>
      <c r="AQ966" t="s">
        <v>74</v>
      </c>
      <c r="AR966" t="s">
        <v>1849</v>
      </c>
      <c r="AS966" t="s">
        <v>1850</v>
      </c>
      <c r="AT966" t="s">
        <v>12254</v>
      </c>
      <c r="AU966">
        <v>1998</v>
      </c>
      <c r="AV966">
        <v>131</v>
      </c>
      <c r="AW966">
        <v>1</v>
      </c>
      <c r="AX966" t="s">
        <v>74</v>
      </c>
      <c r="AY966" t="s">
        <v>74</v>
      </c>
      <c r="AZ966" t="s">
        <v>74</v>
      </c>
      <c r="BA966" t="s">
        <v>74</v>
      </c>
      <c r="BB966">
        <v>95</v>
      </c>
      <c r="BC966">
        <v>101</v>
      </c>
      <c r="BD966" t="s">
        <v>74</v>
      </c>
      <c r="BE966" t="s">
        <v>12665</v>
      </c>
      <c r="BF966" t="str">
        <f>HYPERLINK("http://dx.doi.org/10.1007/s002270050300","http://dx.doi.org/10.1007/s002270050300")</f>
        <v>http://dx.doi.org/10.1007/s002270050300</v>
      </c>
      <c r="BG966" t="s">
        <v>74</v>
      </c>
      <c r="BH966" t="s">
        <v>74</v>
      </c>
      <c r="BI966">
        <v>7</v>
      </c>
      <c r="BJ966" t="s">
        <v>212</v>
      </c>
      <c r="BK966" t="s">
        <v>95</v>
      </c>
      <c r="BL966" t="s">
        <v>212</v>
      </c>
      <c r="BM966" t="s">
        <v>12640</v>
      </c>
      <c r="BN966" t="s">
        <v>74</v>
      </c>
      <c r="BO966" t="s">
        <v>74</v>
      </c>
      <c r="BP966" t="s">
        <v>74</v>
      </c>
      <c r="BQ966" t="s">
        <v>74</v>
      </c>
      <c r="BR966" t="s">
        <v>98</v>
      </c>
      <c r="BS966" t="s">
        <v>12666</v>
      </c>
      <c r="BT966" t="str">
        <f>HYPERLINK("https%3A%2F%2Fwww.webofscience.com%2Fwos%2Fwoscc%2Ffull-record%2FWOS:000073613500011","View Full Record in Web of Science")</f>
        <v>View Full Record in Web of Science</v>
      </c>
    </row>
    <row r="967" spans="1:72" x14ac:dyDescent="0.15">
      <c r="A967" t="s">
        <v>72</v>
      </c>
      <c r="B967" t="s">
        <v>12667</v>
      </c>
      <c r="C967" t="s">
        <v>74</v>
      </c>
      <c r="D967" t="s">
        <v>74</v>
      </c>
      <c r="E967" t="s">
        <v>74</v>
      </c>
      <c r="F967" t="s">
        <v>12667</v>
      </c>
      <c r="G967" t="s">
        <v>74</v>
      </c>
      <c r="H967" t="s">
        <v>74</v>
      </c>
      <c r="I967" t="s">
        <v>12668</v>
      </c>
      <c r="J967" t="s">
        <v>1842</v>
      </c>
      <c r="K967" t="s">
        <v>74</v>
      </c>
      <c r="L967" t="s">
        <v>74</v>
      </c>
      <c r="M967" t="s">
        <v>77</v>
      </c>
      <c r="N967" t="s">
        <v>103</v>
      </c>
      <c r="O967" t="s">
        <v>74</v>
      </c>
      <c r="P967" t="s">
        <v>74</v>
      </c>
      <c r="Q967" t="s">
        <v>74</v>
      </c>
      <c r="R967" t="s">
        <v>74</v>
      </c>
      <c r="S967" t="s">
        <v>74</v>
      </c>
      <c r="T967" t="s">
        <v>74</v>
      </c>
      <c r="U967" t="s">
        <v>12669</v>
      </c>
      <c r="V967" t="s">
        <v>12670</v>
      </c>
      <c r="W967" t="s">
        <v>12671</v>
      </c>
      <c r="X967" t="s">
        <v>4892</v>
      </c>
      <c r="Y967" t="s">
        <v>12672</v>
      </c>
      <c r="Z967" t="s">
        <v>74</v>
      </c>
      <c r="AA967" t="s">
        <v>74</v>
      </c>
      <c r="AB967" t="s">
        <v>74</v>
      </c>
      <c r="AC967" t="s">
        <v>74</v>
      </c>
      <c r="AD967" t="s">
        <v>74</v>
      </c>
      <c r="AE967" t="s">
        <v>74</v>
      </c>
      <c r="AF967" t="s">
        <v>74</v>
      </c>
      <c r="AG967">
        <v>45</v>
      </c>
      <c r="AH967">
        <v>4</v>
      </c>
      <c r="AI967">
        <v>5</v>
      </c>
      <c r="AJ967">
        <v>0</v>
      </c>
      <c r="AK967">
        <v>10</v>
      </c>
      <c r="AL967" t="s">
        <v>887</v>
      </c>
      <c r="AM967" t="s">
        <v>278</v>
      </c>
      <c r="AN967" t="s">
        <v>888</v>
      </c>
      <c r="AO967" t="s">
        <v>1848</v>
      </c>
      <c r="AP967" t="s">
        <v>74</v>
      </c>
      <c r="AQ967" t="s">
        <v>74</v>
      </c>
      <c r="AR967" t="s">
        <v>1849</v>
      </c>
      <c r="AS967" t="s">
        <v>1850</v>
      </c>
      <c r="AT967" t="s">
        <v>12254</v>
      </c>
      <c r="AU967">
        <v>1998</v>
      </c>
      <c r="AV967">
        <v>131</v>
      </c>
      <c r="AW967">
        <v>1</v>
      </c>
      <c r="AX967" t="s">
        <v>74</v>
      </c>
      <c r="AY967" t="s">
        <v>74</v>
      </c>
      <c r="AZ967" t="s">
        <v>74</v>
      </c>
      <c r="BA967" t="s">
        <v>74</v>
      </c>
      <c r="BB967">
        <v>123</v>
      </c>
      <c r="BC967">
        <v>131</v>
      </c>
      <c r="BD967" t="s">
        <v>74</v>
      </c>
      <c r="BE967" t="s">
        <v>12673</v>
      </c>
      <c r="BF967" t="str">
        <f>HYPERLINK("http://dx.doi.org/10.1007/s002270050303","http://dx.doi.org/10.1007/s002270050303")</f>
        <v>http://dx.doi.org/10.1007/s002270050303</v>
      </c>
      <c r="BG967" t="s">
        <v>74</v>
      </c>
      <c r="BH967" t="s">
        <v>74</v>
      </c>
      <c r="BI967">
        <v>9</v>
      </c>
      <c r="BJ967" t="s">
        <v>212</v>
      </c>
      <c r="BK967" t="s">
        <v>95</v>
      </c>
      <c r="BL967" t="s">
        <v>212</v>
      </c>
      <c r="BM967" t="s">
        <v>12640</v>
      </c>
      <c r="BN967" t="s">
        <v>74</v>
      </c>
      <c r="BO967" t="s">
        <v>74</v>
      </c>
      <c r="BP967" t="s">
        <v>74</v>
      </c>
      <c r="BQ967" t="s">
        <v>74</v>
      </c>
      <c r="BR967" t="s">
        <v>98</v>
      </c>
      <c r="BS967" t="s">
        <v>12674</v>
      </c>
      <c r="BT967" t="str">
        <f>HYPERLINK("https%3A%2F%2Fwww.webofscience.com%2Fwos%2Fwoscc%2Ffull-record%2FWOS:000073613500014","View Full Record in Web of Science")</f>
        <v>View Full Record in Web of Science</v>
      </c>
    </row>
    <row r="968" spans="1:72" x14ac:dyDescent="0.15">
      <c r="A968" t="s">
        <v>72</v>
      </c>
      <c r="B968" t="s">
        <v>12675</v>
      </c>
      <c r="C968" t="s">
        <v>74</v>
      </c>
      <c r="D968" t="s">
        <v>74</v>
      </c>
      <c r="E968" t="s">
        <v>74</v>
      </c>
      <c r="F968" t="s">
        <v>12675</v>
      </c>
      <c r="G968" t="s">
        <v>74</v>
      </c>
      <c r="H968" t="s">
        <v>74</v>
      </c>
      <c r="I968" t="s">
        <v>12676</v>
      </c>
      <c r="J968" t="s">
        <v>12677</v>
      </c>
      <c r="K968" t="s">
        <v>74</v>
      </c>
      <c r="L968" t="s">
        <v>74</v>
      </c>
      <c r="M968" t="s">
        <v>77</v>
      </c>
      <c r="N968" t="s">
        <v>103</v>
      </c>
      <c r="O968" t="s">
        <v>74</v>
      </c>
      <c r="P968" t="s">
        <v>74</v>
      </c>
      <c r="Q968" t="s">
        <v>74</v>
      </c>
      <c r="R968" t="s">
        <v>74</v>
      </c>
      <c r="S968" t="s">
        <v>74</v>
      </c>
      <c r="T968" t="s">
        <v>12678</v>
      </c>
      <c r="U968" t="s">
        <v>12679</v>
      </c>
      <c r="V968" t="s">
        <v>12680</v>
      </c>
      <c r="W968" t="s">
        <v>12681</v>
      </c>
      <c r="X968" t="s">
        <v>12682</v>
      </c>
      <c r="Y968" t="s">
        <v>12683</v>
      </c>
      <c r="Z968" t="s">
        <v>74</v>
      </c>
      <c r="AA968" t="s">
        <v>12684</v>
      </c>
      <c r="AB968" t="s">
        <v>12685</v>
      </c>
      <c r="AC968" t="s">
        <v>74</v>
      </c>
      <c r="AD968" t="s">
        <v>74</v>
      </c>
      <c r="AE968" t="s">
        <v>74</v>
      </c>
      <c r="AF968" t="s">
        <v>74</v>
      </c>
      <c r="AG968">
        <v>57</v>
      </c>
      <c r="AH968">
        <v>15</v>
      </c>
      <c r="AI968">
        <v>16</v>
      </c>
      <c r="AJ968">
        <v>0</v>
      </c>
      <c r="AK968">
        <v>9</v>
      </c>
      <c r="AL968" t="s">
        <v>729</v>
      </c>
      <c r="AM968" t="s">
        <v>229</v>
      </c>
      <c r="AN968" t="s">
        <v>730</v>
      </c>
      <c r="AO968" t="s">
        <v>12686</v>
      </c>
      <c r="AP968" t="s">
        <v>74</v>
      </c>
      <c r="AQ968" t="s">
        <v>74</v>
      </c>
      <c r="AR968" t="s">
        <v>12687</v>
      </c>
      <c r="AS968" t="s">
        <v>12688</v>
      </c>
      <c r="AT968" t="s">
        <v>12254</v>
      </c>
      <c r="AU968">
        <v>1998</v>
      </c>
      <c r="AV968">
        <v>45</v>
      </c>
      <c r="AW968">
        <v>3</v>
      </c>
      <c r="AX968" t="s">
        <v>74</v>
      </c>
      <c r="AY968" t="s">
        <v>74</v>
      </c>
      <c r="AZ968" t="s">
        <v>74</v>
      </c>
      <c r="BA968" t="s">
        <v>74</v>
      </c>
      <c r="BB968">
        <v>249</v>
      </c>
      <c r="BC968">
        <v>258</v>
      </c>
      <c r="BD968" t="s">
        <v>74</v>
      </c>
      <c r="BE968" t="s">
        <v>12689</v>
      </c>
      <c r="BF968" t="str">
        <f>HYPERLINK("http://dx.doi.org/10.1016/S0141-1136(97)00129-3","http://dx.doi.org/10.1016/S0141-1136(97)00129-3")</f>
        <v>http://dx.doi.org/10.1016/S0141-1136(97)00129-3</v>
      </c>
      <c r="BG968" t="s">
        <v>74</v>
      </c>
      <c r="BH968" t="s">
        <v>74</v>
      </c>
      <c r="BI968">
        <v>10</v>
      </c>
      <c r="BJ968" t="s">
        <v>12690</v>
      </c>
      <c r="BK968" t="s">
        <v>95</v>
      </c>
      <c r="BL968" t="s">
        <v>12691</v>
      </c>
      <c r="BM968" t="s">
        <v>12692</v>
      </c>
      <c r="BN968" t="s">
        <v>74</v>
      </c>
      <c r="BO968" t="s">
        <v>74</v>
      </c>
      <c r="BP968" t="s">
        <v>74</v>
      </c>
      <c r="BQ968" t="s">
        <v>74</v>
      </c>
      <c r="BR968" t="s">
        <v>98</v>
      </c>
      <c r="BS968" t="s">
        <v>12693</v>
      </c>
      <c r="BT968" t="str">
        <f>HYPERLINK("https%3A%2F%2Fwww.webofscience.com%2Fwos%2Fwoscc%2Ffull-record%2FWOS:000074778100004","View Full Record in Web of Science")</f>
        <v>View Full Record in Web of Science</v>
      </c>
    </row>
    <row r="969" spans="1:72" x14ac:dyDescent="0.15">
      <c r="A969" t="s">
        <v>72</v>
      </c>
      <c r="B969" t="s">
        <v>12694</v>
      </c>
      <c r="C969" t="s">
        <v>74</v>
      </c>
      <c r="D969" t="s">
        <v>74</v>
      </c>
      <c r="E969" t="s">
        <v>74</v>
      </c>
      <c r="F969" t="s">
        <v>12694</v>
      </c>
      <c r="G969" t="s">
        <v>74</v>
      </c>
      <c r="H969" t="s">
        <v>74</v>
      </c>
      <c r="I969" t="s">
        <v>12695</v>
      </c>
      <c r="J969" t="s">
        <v>12677</v>
      </c>
      <c r="K969" t="s">
        <v>74</v>
      </c>
      <c r="L969" t="s">
        <v>74</v>
      </c>
      <c r="M969" t="s">
        <v>77</v>
      </c>
      <c r="N969" t="s">
        <v>103</v>
      </c>
      <c r="O969" t="s">
        <v>74</v>
      </c>
      <c r="P969" t="s">
        <v>74</v>
      </c>
      <c r="Q969" t="s">
        <v>74</v>
      </c>
      <c r="R969" t="s">
        <v>74</v>
      </c>
      <c r="S969" t="s">
        <v>74</v>
      </c>
      <c r="T969" t="s">
        <v>12696</v>
      </c>
      <c r="U969" t="s">
        <v>12697</v>
      </c>
      <c r="V969" t="s">
        <v>12698</v>
      </c>
      <c r="W969" t="s">
        <v>12699</v>
      </c>
      <c r="X969" t="s">
        <v>12700</v>
      </c>
      <c r="Y969" t="s">
        <v>12701</v>
      </c>
      <c r="Z969" t="s">
        <v>74</v>
      </c>
      <c r="AA969" t="s">
        <v>74</v>
      </c>
      <c r="AB969" t="s">
        <v>74</v>
      </c>
      <c r="AC969" t="s">
        <v>74</v>
      </c>
      <c r="AD969" t="s">
        <v>74</v>
      </c>
      <c r="AE969" t="s">
        <v>74</v>
      </c>
      <c r="AF969" t="s">
        <v>74</v>
      </c>
      <c r="AG969">
        <v>25</v>
      </c>
      <c r="AH969">
        <v>22</v>
      </c>
      <c r="AI969">
        <v>24</v>
      </c>
      <c r="AJ969">
        <v>1</v>
      </c>
      <c r="AK969">
        <v>12</v>
      </c>
      <c r="AL969" t="s">
        <v>729</v>
      </c>
      <c r="AM969" t="s">
        <v>229</v>
      </c>
      <c r="AN969" t="s">
        <v>730</v>
      </c>
      <c r="AO969" t="s">
        <v>12686</v>
      </c>
      <c r="AP969" t="s">
        <v>74</v>
      </c>
      <c r="AQ969" t="s">
        <v>74</v>
      </c>
      <c r="AR969" t="s">
        <v>12687</v>
      </c>
      <c r="AS969" t="s">
        <v>12688</v>
      </c>
      <c r="AT969" t="s">
        <v>12254</v>
      </c>
      <c r="AU969">
        <v>1998</v>
      </c>
      <c r="AV969">
        <v>45</v>
      </c>
      <c r="AW969">
        <v>3</v>
      </c>
      <c r="AX969" t="s">
        <v>74</v>
      </c>
      <c r="AY969" t="s">
        <v>74</v>
      </c>
      <c r="AZ969" t="s">
        <v>74</v>
      </c>
      <c r="BA969" t="s">
        <v>74</v>
      </c>
      <c r="BB969">
        <v>285</v>
      </c>
      <c r="BC969">
        <v>294</v>
      </c>
      <c r="BD969" t="s">
        <v>74</v>
      </c>
      <c r="BE969" t="s">
        <v>12702</v>
      </c>
      <c r="BF969" t="str">
        <f>HYPERLINK("http://dx.doi.org/10.1016/S0141-1136(98)00025-7","http://dx.doi.org/10.1016/S0141-1136(98)00025-7")</f>
        <v>http://dx.doi.org/10.1016/S0141-1136(98)00025-7</v>
      </c>
      <c r="BG969" t="s">
        <v>74</v>
      </c>
      <c r="BH969" t="s">
        <v>74</v>
      </c>
      <c r="BI969">
        <v>10</v>
      </c>
      <c r="BJ969" t="s">
        <v>12690</v>
      </c>
      <c r="BK969" t="s">
        <v>95</v>
      </c>
      <c r="BL969" t="s">
        <v>12691</v>
      </c>
      <c r="BM969" t="s">
        <v>12692</v>
      </c>
      <c r="BN969" t="s">
        <v>74</v>
      </c>
      <c r="BO969" t="s">
        <v>74</v>
      </c>
      <c r="BP969" t="s">
        <v>74</v>
      </c>
      <c r="BQ969" t="s">
        <v>74</v>
      </c>
      <c r="BR969" t="s">
        <v>98</v>
      </c>
      <c r="BS969" t="s">
        <v>12703</v>
      </c>
      <c r="BT969" t="str">
        <f>HYPERLINK("https%3A%2F%2Fwww.webofscience.com%2Fwos%2Fwoscc%2Ffull-record%2FWOS:000074778100007","View Full Record in Web of Science")</f>
        <v>View Full Record in Web of Science</v>
      </c>
    </row>
    <row r="970" spans="1:72" x14ac:dyDescent="0.15">
      <c r="A970" t="s">
        <v>72</v>
      </c>
      <c r="B970" t="s">
        <v>12704</v>
      </c>
      <c r="C970" t="s">
        <v>74</v>
      </c>
      <c r="D970" t="s">
        <v>74</v>
      </c>
      <c r="E970" t="s">
        <v>74</v>
      </c>
      <c r="F970" t="s">
        <v>12704</v>
      </c>
      <c r="G970" t="s">
        <v>74</v>
      </c>
      <c r="H970" t="s">
        <v>74</v>
      </c>
      <c r="I970" t="s">
        <v>12705</v>
      </c>
      <c r="J970" t="s">
        <v>4502</v>
      </c>
      <c r="K970" t="s">
        <v>74</v>
      </c>
      <c r="L970" t="s">
        <v>74</v>
      </c>
      <c r="M970" t="s">
        <v>77</v>
      </c>
      <c r="N970" t="s">
        <v>78</v>
      </c>
      <c r="O970" t="s">
        <v>74</v>
      </c>
      <c r="P970" t="s">
        <v>74</v>
      </c>
      <c r="Q970" t="s">
        <v>74</v>
      </c>
      <c r="R970" t="s">
        <v>74</v>
      </c>
      <c r="S970" t="s">
        <v>74</v>
      </c>
      <c r="T970" t="s">
        <v>12706</v>
      </c>
      <c r="U970" t="s">
        <v>12707</v>
      </c>
      <c r="V970" t="s">
        <v>12708</v>
      </c>
      <c r="W970" t="s">
        <v>12709</v>
      </c>
      <c r="X970" t="s">
        <v>12710</v>
      </c>
      <c r="Y970" t="s">
        <v>12711</v>
      </c>
      <c r="Z970" t="s">
        <v>74</v>
      </c>
      <c r="AA970" t="s">
        <v>74</v>
      </c>
      <c r="AB970" t="s">
        <v>12712</v>
      </c>
      <c r="AC970" t="s">
        <v>74</v>
      </c>
      <c r="AD970" t="s">
        <v>74</v>
      </c>
      <c r="AE970" t="s">
        <v>74</v>
      </c>
      <c r="AF970" t="s">
        <v>74</v>
      </c>
      <c r="AG970">
        <v>132</v>
      </c>
      <c r="AH970">
        <v>35</v>
      </c>
      <c r="AI970">
        <v>53</v>
      </c>
      <c r="AJ970">
        <v>1</v>
      </c>
      <c r="AK970">
        <v>32</v>
      </c>
      <c r="AL970" t="s">
        <v>1037</v>
      </c>
      <c r="AM970" t="s">
        <v>1038</v>
      </c>
      <c r="AN970" t="s">
        <v>1039</v>
      </c>
      <c r="AO970" t="s">
        <v>4509</v>
      </c>
      <c r="AP970" t="s">
        <v>74</v>
      </c>
      <c r="AQ970" t="s">
        <v>74</v>
      </c>
      <c r="AR970" t="s">
        <v>4510</v>
      </c>
      <c r="AS970" t="s">
        <v>4511</v>
      </c>
      <c r="AT970" t="s">
        <v>12254</v>
      </c>
      <c r="AU970">
        <v>1998</v>
      </c>
      <c r="AV970">
        <v>146</v>
      </c>
      <c r="AW970" t="s">
        <v>5317</v>
      </c>
      <c r="AX970" t="s">
        <v>74</v>
      </c>
      <c r="AY970" t="s">
        <v>74</v>
      </c>
      <c r="AZ970" t="s">
        <v>74</v>
      </c>
      <c r="BA970" t="s">
        <v>74</v>
      </c>
      <c r="BB970">
        <v>33</v>
      </c>
      <c r="BC970">
        <v>52</v>
      </c>
      <c r="BD970" t="s">
        <v>74</v>
      </c>
      <c r="BE970" t="s">
        <v>12713</v>
      </c>
      <c r="BF970" t="str">
        <f>HYPERLINK("http://dx.doi.org/10.1016/S0025-3227(97)00128-X","http://dx.doi.org/10.1016/S0025-3227(97)00128-X")</f>
        <v>http://dx.doi.org/10.1016/S0025-3227(97)00128-X</v>
      </c>
      <c r="BG970" t="s">
        <v>74</v>
      </c>
      <c r="BH970" t="s">
        <v>74</v>
      </c>
      <c r="BI970">
        <v>20</v>
      </c>
      <c r="BJ970" t="s">
        <v>893</v>
      </c>
      <c r="BK970" t="s">
        <v>95</v>
      </c>
      <c r="BL970" t="s">
        <v>894</v>
      </c>
      <c r="BM970" t="s">
        <v>12714</v>
      </c>
      <c r="BN970" t="s">
        <v>74</v>
      </c>
      <c r="BO970" t="s">
        <v>74</v>
      </c>
      <c r="BP970" t="s">
        <v>74</v>
      </c>
      <c r="BQ970" t="s">
        <v>74</v>
      </c>
      <c r="BR970" t="s">
        <v>98</v>
      </c>
      <c r="BS970" t="s">
        <v>12715</v>
      </c>
      <c r="BT970" t="str">
        <f>HYPERLINK("https%3A%2F%2Fwww.webofscience.com%2Fwos%2Fwoscc%2Ffull-record%2FWOS:000073591700003","View Full Record in Web of Science")</f>
        <v>View Full Record in Web of Science</v>
      </c>
    </row>
    <row r="971" spans="1:72" x14ac:dyDescent="0.15">
      <c r="A971" t="s">
        <v>72</v>
      </c>
      <c r="B971" t="s">
        <v>12716</v>
      </c>
      <c r="C971" t="s">
        <v>74</v>
      </c>
      <c r="D971" t="s">
        <v>74</v>
      </c>
      <c r="E971" t="s">
        <v>74</v>
      </c>
      <c r="F971" t="s">
        <v>12716</v>
      </c>
      <c r="G971" t="s">
        <v>74</v>
      </c>
      <c r="H971" t="s">
        <v>74</v>
      </c>
      <c r="I971" t="s">
        <v>12717</v>
      </c>
      <c r="J971" t="s">
        <v>6691</v>
      </c>
      <c r="K971" t="s">
        <v>74</v>
      </c>
      <c r="L971" t="s">
        <v>74</v>
      </c>
      <c r="M971" t="s">
        <v>77</v>
      </c>
      <c r="N971" t="s">
        <v>103</v>
      </c>
      <c r="O971" t="s">
        <v>74</v>
      </c>
      <c r="P971" t="s">
        <v>74</v>
      </c>
      <c r="Q971" t="s">
        <v>74</v>
      </c>
      <c r="R971" t="s">
        <v>74</v>
      </c>
      <c r="S971" t="s">
        <v>74</v>
      </c>
      <c r="T971" t="s">
        <v>74</v>
      </c>
      <c r="U971" t="s">
        <v>74</v>
      </c>
      <c r="V971" t="s">
        <v>74</v>
      </c>
      <c r="W971" t="s">
        <v>12718</v>
      </c>
      <c r="X971" t="s">
        <v>1828</v>
      </c>
      <c r="Y971" t="s">
        <v>12719</v>
      </c>
      <c r="Z971" t="s">
        <v>74</v>
      </c>
      <c r="AA971" t="s">
        <v>12720</v>
      </c>
      <c r="AB971" t="s">
        <v>74</v>
      </c>
      <c r="AC971" t="s">
        <v>74</v>
      </c>
      <c r="AD971" t="s">
        <v>74</v>
      </c>
      <c r="AE971" t="s">
        <v>74</v>
      </c>
      <c r="AF971" t="s">
        <v>74</v>
      </c>
      <c r="AG971">
        <v>6</v>
      </c>
      <c r="AH971">
        <v>13</v>
      </c>
      <c r="AI971">
        <v>14</v>
      </c>
      <c r="AJ971">
        <v>0</v>
      </c>
      <c r="AK971">
        <v>4</v>
      </c>
      <c r="AL971" t="s">
        <v>6699</v>
      </c>
      <c r="AM971" t="s">
        <v>4407</v>
      </c>
      <c r="AN971" t="s">
        <v>6700</v>
      </c>
      <c r="AO971" t="s">
        <v>6701</v>
      </c>
      <c r="AP971" t="s">
        <v>74</v>
      </c>
      <c r="AQ971" t="s">
        <v>74</v>
      </c>
      <c r="AR971" t="s">
        <v>6702</v>
      </c>
      <c r="AS971" t="s">
        <v>6703</v>
      </c>
      <c r="AT971" t="s">
        <v>12254</v>
      </c>
      <c r="AU971">
        <v>1998</v>
      </c>
      <c r="AV971">
        <v>14</v>
      </c>
      <c r="AW971">
        <v>2</v>
      </c>
      <c r="AX971" t="s">
        <v>74</v>
      </c>
      <c r="AY971" t="s">
        <v>74</v>
      </c>
      <c r="AZ971" t="s">
        <v>74</v>
      </c>
      <c r="BA971" t="s">
        <v>74</v>
      </c>
      <c r="BB971">
        <v>384</v>
      </c>
      <c r="BC971">
        <v>389</v>
      </c>
      <c r="BD971" t="s">
        <v>74</v>
      </c>
      <c r="BE971" t="s">
        <v>12721</v>
      </c>
      <c r="BF971" t="str">
        <f>HYPERLINK("http://dx.doi.org/10.1111/j.1748-7692.1998.tb00731.x","http://dx.doi.org/10.1111/j.1748-7692.1998.tb00731.x")</f>
        <v>http://dx.doi.org/10.1111/j.1748-7692.1998.tb00731.x</v>
      </c>
      <c r="BG971" t="s">
        <v>74</v>
      </c>
      <c r="BH971" t="s">
        <v>74</v>
      </c>
      <c r="BI971">
        <v>6</v>
      </c>
      <c r="BJ971" t="s">
        <v>1230</v>
      </c>
      <c r="BK971" t="s">
        <v>95</v>
      </c>
      <c r="BL971" t="s">
        <v>1230</v>
      </c>
      <c r="BM971" t="s">
        <v>12722</v>
      </c>
      <c r="BN971" t="s">
        <v>74</v>
      </c>
      <c r="BO971" t="s">
        <v>1089</v>
      </c>
      <c r="BP971" t="s">
        <v>74</v>
      </c>
      <c r="BQ971" t="s">
        <v>74</v>
      </c>
      <c r="BR971" t="s">
        <v>98</v>
      </c>
      <c r="BS971" t="s">
        <v>12723</v>
      </c>
      <c r="BT971" t="str">
        <f>HYPERLINK("https%3A%2F%2Fwww.webofscience.com%2Fwos%2Fwoscc%2Ffull-record%2FWOS:000072956100021","View Full Record in Web of Science")</f>
        <v>View Full Record in Web of Science</v>
      </c>
    </row>
    <row r="972" spans="1:72" x14ac:dyDescent="0.15">
      <c r="A972" t="s">
        <v>72</v>
      </c>
      <c r="B972" t="s">
        <v>12724</v>
      </c>
      <c r="C972" t="s">
        <v>74</v>
      </c>
      <c r="D972" t="s">
        <v>74</v>
      </c>
      <c r="E972" t="s">
        <v>74</v>
      </c>
      <c r="F972" t="s">
        <v>12724</v>
      </c>
      <c r="G972" t="s">
        <v>74</v>
      </c>
      <c r="H972" t="s">
        <v>74</v>
      </c>
      <c r="I972" t="s">
        <v>12725</v>
      </c>
      <c r="J972" t="s">
        <v>7807</v>
      </c>
      <c r="K972" t="s">
        <v>74</v>
      </c>
      <c r="L972" t="s">
        <v>74</v>
      </c>
      <c r="M972" t="s">
        <v>77</v>
      </c>
      <c r="N972" t="s">
        <v>78</v>
      </c>
      <c r="O972" t="s">
        <v>74</v>
      </c>
      <c r="P972" t="s">
        <v>74</v>
      </c>
      <c r="Q972" t="s">
        <v>74</v>
      </c>
      <c r="R972" t="s">
        <v>74</v>
      </c>
      <c r="S972" t="s">
        <v>74</v>
      </c>
      <c r="T972" t="s">
        <v>12726</v>
      </c>
      <c r="U972" t="s">
        <v>12727</v>
      </c>
      <c r="V972" t="s">
        <v>12728</v>
      </c>
      <c r="W972" t="s">
        <v>12729</v>
      </c>
      <c r="X972" t="s">
        <v>12730</v>
      </c>
      <c r="Y972" t="s">
        <v>12731</v>
      </c>
      <c r="Z972" t="s">
        <v>12732</v>
      </c>
      <c r="AA972" t="s">
        <v>74</v>
      </c>
      <c r="AB972" t="s">
        <v>74</v>
      </c>
      <c r="AC972" t="s">
        <v>74</v>
      </c>
      <c r="AD972" t="s">
        <v>74</v>
      </c>
      <c r="AE972" t="s">
        <v>74</v>
      </c>
      <c r="AF972" t="s">
        <v>74</v>
      </c>
      <c r="AG972">
        <v>148</v>
      </c>
      <c r="AH972">
        <v>45</v>
      </c>
      <c r="AI972">
        <v>52</v>
      </c>
      <c r="AJ972">
        <v>0</v>
      </c>
      <c r="AK972">
        <v>12</v>
      </c>
      <c r="AL972" t="s">
        <v>1037</v>
      </c>
      <c r="AM972" t="s">
        <v>1038</v>
      </c>
      <c r="AN972" t="s">
        <v>1039</v>
      </c>
      <c r="AO972" t="s">
        <v>7813</v>
      </c>
      <c r="AP972" t="s">
        <v>7814</v>
      </c>
      <c r="AQ972" t="s">
        <v>74</v>
      </c>
      <c r="AR972" t="s">
        <v>7815</v>
      </c>
      <c r="AS972" t="s">
        <v>7816</v>
      </c>
      <c r="AT972" t="s">
        <v>12254</v>
      </c>
      <c r="AU972">
        <v>1998</v>
      </c>
      <c r="AV972">
        <v>33</v>
      </c>
      <c r="AW972" t="s">
        <v>1282</v>
      </c>
      <c r="AX972" t="s">
        <v>74</v>
      </c>
      <c r="AY972" t="s">
        <v>74</v>
      </c>
      <c r="AZ972" t="s">
        <v>74</v>
      </c>
      <c r="BA972" t="s">
        <v>74</v>
      </c>
      <c r="BB972">
        <v>241</v>
      </c>
      <c r="BC972">
        <v>272</v>
      </c>
      <c r="BD972" t="s">
        <v>74</v>
      </c>
      <c r="BE972" t="s">
        <v>12733</v>
      </c>
      <c r="BF972" t="str">
        <f>HYPERLINK("http://dx.doi.org/10.1016/S0377-8398(97)00037-6","http://dx.doi.org/10.1016/S0377-8398(97)00037-6")</f>
        <v>http://dx.doi.org/10.1016/S0377-8398(97)00037-6</v>
      </c>
      <c r="BG972" t="s">
        <v>74</v>
      </c>
      <c r="BH972" t="s">
        <v>74</v>
      </c>
      <c r="BI972">
        <v>32</v>
      </c>
      <c r="BJ972" t="s">
        <v>2287</v>
      </c>
      <c r="BK972" t="s">
        <v>95</v>
      </c>
      <c r="BL972" t="s">
        <v>2287</v>
      </c>
      <c r="BM972" t="s">
        <v>12734</v>
      </c>
      <c r="BN972" t="s">
        <v>74</v>
      </c>
      <c r="BO972" t="s">
        <v>74</v>
      </c>
      <c r="BP972" t="s">
        <v>74</v>
      </c>
      <c r="BQ972" t="s">
        <v>74</v>
      </c>
      <c r="BR972" t="s">
        <v>98</v>
      </c>
      <c r="BS972" t="s">
        <v>12735</v>
      </c>
      <c r="BT972" t="str">
        <f>HYPERLINK("https%3A%2F%2Fwww.webofscience.com%2Fwos%2Fwoscc%2Ffull-record%2FWOS:000072832800005","View Full Record in Web of Science")</f>
        <v>View Full Record in Web of Science</v>
      </c>
    </row>
    <row r="973" spans="1:72" x14ac:dyDescent="0.15">
      <c r="A973" t="s">
        <v>72</v>
      </c>
      <c r="B973" t="s">
        <v>12736</v>
      </c>
      <c r="C973" t="s">
        <v>74</v>
      </c>
      <c r="D973" t="s">
        <v>74</v>
      </c>
      <c r="E973" t="s">
        <v>74</v>
      </c>
      <c r="F973" t="s">
        <v>12736</v>
      </c>
      <c r="G973" t="s">
        <v>74</v>
      </c>
      <c r="H973" t="s">
        <v>74</v>
      </c>
      <c r="I973" t="s">
        <v>12737</v>
      </c>
      <c r="J973" t="s">
        <v>9747</v>
      </c>
      <c r="K973" t="s">
        <v>74</v>
      </c>
      <c r="L973" t="s">
        <v>74</v>
      </c>
      <c r="M973" t="s">
        <v>77</v>
      </c>
      <c r="N973" t="s">
        <v>103</v>
      </c>
      <c r="O973" t="s">
        <v>74</v>
      </c>
      <c r="P973" t="s">
        <v>74</v>
      </c>
      <c r="Q973" t="s">
        <v>74</v>
      </c>
      <c r="R973" t="s">
        <v>74</v>
      </c>
      <c r="S973" t="s">
        <v>74</v>
      </c>
      <c r="T973" t="s">
        <v>12738</v>
      </c>
      <c r="U973" t="s">
        <v>74</v>
      </c>
      <c r="V973" t="s">
        <v>12739</v>
      </c>
      <c r="W973" t="s">
        <v>12740</v>
      </c>
      <c r="X973" t="s">
        <v>4359</v>
      </c>
      <c r="Y973" t="s">
        <v>12741</v>
      </c>
      <c r="Z973" t="s">
        <v>74</v>
      </c>
      <c r="AA973" t="s">
        <v>74</v>
      </c>
      <c r="AB973" t="s">
        <v>74</v>
      </c>
      <c r="AC973" t="s">
        <v>74</v>
      </c>
      <c r="AD973" t="s">
        <v>74</v>
      </c>
      <c r="AE973" t="s">
        <v>74</v>
      </c>
      <c r="AF973" t="s">
        <v>74</v>
      </c>
      <c r="AG973">
        <v>40</v>
      </c>
      <c r="AH973">
        <v>8</v>
      </c>
      <c r="AI973">
        <v>8</v>
      </c>
      <c r="AJ973">
        <v>0</v>
      </c>
      <c r="AK973">
        <v>10</v>
      </c>
      <c r="AL973" t="s">
        <v>9753</v>
      </c>
      <c r="AM973" t="s">
        <v>9754</v>
      </c>
      <c r="AN973" t="s">
        <v>9755</v>
      </c>
      <c r="AO973" t="s">
        <v>9756</v>
      </c>
      <c r="AP973" t="s">
        <v>74</v>
      </c>
      <c r="AQ973" t="s">
        <v>74</v>
      </c>
      <c r="AR973" t="s">
        <v>9757</v>
      </c>
      <c r="AS973" t="s">
        <v>9758</v>
      </c>
      <c r="AT973" t="s">
        <v>12742</v>
      </c>
      <c r="AU973">
        <v>1998</v>
      </c>
      <c r="AV973">
        <v>29</v>
      </c>
      <c r="AW973">
        <v>2</v>
      </c>
      <c r="AX973" t="s">
        <v>74</v>
      </c>
      <c r="AY973" t="s">
        <v>74</v>
      </c>
      <c r="AZ973" t="s">
        <v>74</v>
      </c>
      <c r="BA973" t="s">
        <v>74</v>
      </c>
      <c r="BB973">
        <v>125</v>
      </c>
      <c r="BC973">
        <v>146</v>
      </c>
      <c r="BD973" t="s">
        <v>74</v>
      </c>
      <c r="BE973" t="s">
        <v>12743</v>
      </c>
      <c r="BF973" t="str">
        <f>HYPERLINK("http://dx.doi.org/10.1080/00908329809546120","http://dx.doi.org/10.1080/00908329809546120")</f>
        <v>http://dx.doi.org/10.1080/00908329809546120</v>
      </c>
      <c r="BG973" t="s">
        <v>74</v>
      </c>
      <c r="BH973" t="s">
        <v>74</v>
      </c>
      <c r="BI973">
        <v>22</v>
      </c>
      <c r="BJ973" t="s">
        <v>9761</v>
      </c>
      <c r="BK973" t="s">
        <v>3394</v>
      </c>
      <c r="BL973" t="s">
        <v>9762</v>
      </c>
      <c r="BM973" t="s">
        <v>12744</v>
      </c>
      <c r="BN973" t="s">
        <v>74</v>
      </c>
      <c r="BO973" t="s">
        <v>74</v>
      </c>
      <c r="BP973" t="s">
        <v>74</v>
      </c>
      <c r="BQ973" t="s">
        <v>74</v>
      </c>
      <c r="BR973" t="s">
        <v>98</v>
      </c>
      <c r="BS973" t="s">
        <v>12745</v>
      </c>
      <c r="BT973" t="str">
        <f>HYPERLINK("https%3A%2F%2Fwww.webofscience.com%2Fwos%2Fwoscc%2Ffull-record%2FWOS:000074060900002","View Full Record in Web of Science")</f>
        <v>View Full Record in Web of Science</v>
      </c>
    </row>
    <row r="974" spans="1:72" x14ac:dyDescent="0.15">
      <c r="A974" t="s">
        <v>72</v>
      </c>
      <c r="B974" t="s">
        <v>12746</v>
      </c>
      <c r="C974" t="s">
        <v>74</v>
      </c>
      <c r="D974" t="s">
        <v>74</v>
      </c>
      <c r="E974" t="s">
        <v>74</v>
      </c>
      <c r="F974" t="s">
        <v>12746</v>
      </c>
      <c r="G974" t="s">
        <v>74</v>
      </c>
      <c r="H974" t="s">
        <v>74</v>
      </c>
      <c r="I974" t="s">
        <v>12747</v>
      </c>
      <c r="J974" t="s">
        <v>4597</v>
      </c>
      <c r="K974" t="s">
        <v>74</v>
      </c>
      <c r="L974" t="s">
        <v>74</v>
      </c>
      <c r="M974" t="s">
        <v>77</v>
      </c>
      <c r="N974" t="s">
        <v>103</v>
      </c>
      <c r="O974" t="s">
        <v>74</v>
      </c>
      <c r="P974" t="s">
        <v>74</v>
      </c>
      <c r="Q974" t="s">
        <v>74</v>
      </c>
      <c r="R974" t="s">
        <v>74</v>
      </c>
      <c r="S974" t="s">
        <v>74</v>
      </c>
      <c r="T974" t="s">
        <v>74</v>
      </c>
      <c r="U974" t="s">
        <v>12748</v>
      </c>
      <c r="V974" t="s">
        <v>12749</v>
      </c>
      <c r="W974" t="s">
        <v>8703</v>
      </c>
      <c r="X974" t="s">
        <v>993</v>
      </c>
      <c r="Y974" t="s">
        <v>12750</v>
      </c>
      <c r="Z974" t="s">
        <v>74</v>
      </c>
      <c r="AA974" t="s">
        <v>74</v>
      </c>
      <c r="AB974" t="s">
        <v>74</v>
      </c>
      <c r="AC974" t="s">
        <v>74</v>
      </c>
      <c r="AD974" t="s">
        <v>74</v>
      </c>
      <c r="AE974" t="s">
        <v>74</v>
      </c>
      <c r="AF974" t="s">
        <v>74</v>
      </c>
      <c r="AG974">
        <v>14</v>
      </c>
      <c r="AH974">
        <v>662</v>
      </c>
      <c r="AI974">
        <v>756</v>
      </c>
      <c r="AJ974">
        <v>1</v>
      </c>
      <c r="AK974">
        <v>140</v>
      </c>
      <c r="AL974" t="s">
        <v>966</v>
      </c>
      <c r="AM974" t="s">
        <v>967</v>
      </c>
      <c r="AN974" t="s">
        <v>968</v>
      </c>
      <c r="AO974" t="s">
        <v>4606</v>
      </c>
      <c r="AP974" t="s">
        <v>74</v>
      </c>
      <c r="AQ974" t="s">
        <v>74</v>
      </c>
      <c r="AR974" t="s">
        <v>4597</v>
      </c>
      <c r="AS974" t="s">
        <v>4608</v>
      </c>
      <c r="AT974" t="s">
        <v>12254</v>
      </c>
      <c r="AU974">
        <v>1998</v>
      </c>
      <c r="AV974">
        <v>13</v>
      </c>
      <c r="AW974">
        <v>2</v>
      </c>
      <c r="AX974" t="s">
        <v>74</v>
      </c>
      <c r="AY974" t="s">
        <v>74</v>
      </c>
      <c r="AZ974" t="s">
        <v>74</v>
      </c>
      <c r="BA974" t="s">
        <v>74</v>
      </c>
      <c r="BB974">
        <v>119</v>
      </c>
      <c r="BC974">
        <v>121</v>
      </c>
      <c r="BD974" t="s">
        <v>74</v>
      </c>
      <c r="BE974" t="s">
        <v>12751</v>
      </c>
      <c r="BF974" t="str">
        <f>HYPERLINK("http://dx.doi.org/10.1029/97PA03707","http://dx.doi.org/10.1029/97PA03707")</f>
        <v>http://dx.doi.org/10.1029/97PA03707</v>
      </c>
      <c r="BG974" t="s">
        <v>74</v>
      </c>
      <c r="BH974" t="s">
        <v>74</v>
      </c>
      <c r="BI974">
        <v>3</v>
      </c>
      <c r="BJ974" t="s">
        <v>4610</v>
      </c>
      <c r="BK974" t="s">
        <v>95</v>
      </c>
      <c r="BL974" t="s">
        <v>3306</v>
      </c>
      <c r="BM974" t="s">
        <v>12752</v>
      </c>
      <c r="BN974" t="s">
        <v>74</v>
      </c>
      <c r="BO974" t="s">
        <v>1089</v>
      </c>
      <c r="BP974" t="s">
        <v>74</v>
      </c>
      <c r="BQ974" t="s">
        <v>74</v>
      </c>
      <c r="BR974" t="s">
        <v>98</v>
      </c>
      <c r="BS974" t="s">
        <v>12753</v>
      </c>
      <c r="BT974" t="str">
        <f>HYPERLINK("https%3A%2F%2Fwww.webofscience.com%2Fwos%2Fwoscc%2Ffull-record%2FWOS:000072904900001","View Full Record in Web of Science")</f>
        <v>View Full Record in Web of Science</v>
      </c>
    </row>
    <row r="975" spans="1:72" x14ac:dyDescent="0.15">
      <c r="A975" t="s">
        <v>72</v>
      </c>
      <c r="B975" t="s">
        <v>12754</v>
      </c>
      <c r="C975" t="s">
        <v>74</v>
      </c>
      <c r="D975" t="s">
        <v>74</v>
      </c>
      <c r="E975" t="s">
        <v>74</v>
      </c>
      <c r="F975" t="s">
        <v>12754</v>
      </c>
      <c r="G975" t="s">
        <v>74</v>
      </c>
      <c r="H975" t="s">
        <v>74</v>
      </c>
      <c r="I975" t="s">
        <v>12755</v>
      </c>
      <c r="J975" t="s">
        <v>12756</v>
      </c>
      <c r="K975" t="s">
        <v>74</v>
      </c>
      <c r="L975" t="s">
        <v>74</v>
      </c>
      <c r="M975" t="s">
        <v>77</v>
      </c>
      <c r="N975" t="s">
        <v>103</v>
      </c>
      <c r="O975" t="s">
        <v>74</v>
      </c>
      <c r="P975" t="s">
        <v>74</v>
      </c>
      <c r="Q975" t="s">
        <v>74</v>
      </c>
      <c r="R975" t="s">
        <v>74</v>
      </c>
      <c r="S975" t="s">
        <v>74</v>
      </c>
      <c r="T975" t="s">
        <v>74</v>
      </c>
      <c r="U975" t="s">
        <v>12757</v>
      </c>
      <c r="V975" t="s">
        <v>12758</v>
      </c>
      <c r="W975" t="s">
        <v>12759</v>
      </c>
      <c r="X975" t="s">
        <v>12760</v>
      </c>
      <c r="Y975" t="s">
        <v>12761</v>
      </c>
      <c r="Z975" t="s">
        <v>12762</v>
      </c>
      <c r="AA975" t="s">
        <v>74</v>
      </c>
      <c r="AB975" t="s">
        <v>74</v>
      </c>
      <c r="AC975" t="s">
        <v>74</v>
      </c>
      <c r="AD975" t="s">
        <v>74</v>
      </c>
      <c r="AE975" t="s">
        <v>74</v>
      </c>
      <c r="AF975" t="s">
        <v>74</v>
      </c>
      <c r="AG975">
        <v>17</v>
      </c>
      <c r="AH975">
        <v>6</v>
      </c>
      <c r="AI975">
        <v>8</v>
      </c>
      <c r="AJ975">
        <v>0</v>
      </c>
      <c r="AK975">
        <v>2</v>
      </c>
      <c r="AL975" t="s">
        <v>12763</v>
      </c>
      <c r="AM975" t="s">
        <v>1740</v>
      </c>
      <c r="AN975" t="s">
        <v>12764</v>
      </c>
      <c r="AO975" t="s">
        <v>12765</v>
      </c>
      <c r="AP975" t="s">
        <v>74</v>
      </c>
      <c r="AQ975" t="s">
        <v>74</v>
      </c>
      <c r="AR975" t="s">
        <v>12766</v>
      </c>
      <c r="AS975" t="s">
        <v>12767</v>
      </c>
      <c r="AT975" t="s">
        <v>12254</v>
      </c>
      <c r="AU975">
        <v>1998</v>
      </c>
      <c r="AV975">
        <v>64</v>
      </c>
      <c r="AW975">
        <v>4</v>
      </c>
      <c r="AX975" t="s">
        <v>74</v>
      </c>
      <c r="AY975" t="s">
        <v>74</v>
      </c>
      <c r="AZ975" t="s">
        <v>74</v>
      </c>
      <c r="BA975" t="s">
        <v>74</v>
      </c>
      <c r="BB975">
        <v>301</v>
      </c>
      <c r="BC975">
        <v>308</v>
      </c>
      <c r="BD975" t="s">
        <v>74</v>
      </c>
      <c r="BE975" t="s">
        <v>74</v>
      </c>
      <c r="BF975" t="s">
        <v>74</v>
      </c>
      <c r="BG975" t="s">
        <v>74</v>
      </c>
      <c r="BH975" t="s">
        <v>74</v>
      </c>
      <c r="BI975">
        <v>8</v>
      </c>
      <c r="BJ975" t="s">
        <v>585</v>
      </c>
      <c r="BK975" t="s">
        <v>95</v>
      </c>
      <c r="BL975" t="s">
        <v>586</v>
      </c>
      <c r="BM975" t="s">
        <v>12768</v>
      </c>
      <c r="BN975" t="s">
        <v>74</v>
      </c>
      <c r="BO975" t="s">
        <v>74</v>
      </c>
      <c r="BP975" t="s">
        <v>74</v>
      </c>
      <c r="BQ975" t="s">
        <v>74</v>
      </c>
      <c r="BR975" t="s">
        <v>98</v>
      </c>
      <c r="BS975" t="s">
        <v>12769</v>
      </c>
      <c r="BT975" t="str">
        <f>HYPERLINK("https%3A%2F%2Fwww.webofscience.com%2Fwos%2Fwoscc%2Ffull-record%2FWOS:000073100900010","View Full Record in Web of Science")</f>
        <v>View Full Record in Web of Science</v>
      </c>
    </row>
    <row r="976" spans="1:72" x14ac:dyDescent="0.15">
      <c r="A976" t="s">
        <v>72</v>
      </c>
      <c r="B976" t="s">
        <v>12770</v>
      </c>
      <c r="C976" t="s">
        <v>74</v>
      </c>
      <c r="D976" t="s">
        <v>74</v>
      </c>
      <c r="E976" t="s">
        <v>74</v>
      </c>
      <c r="F976" t="s">
        <v>12770</v>
      </c>
      <c r="G976" t="s">
        <v>74</v>
      </c>
      <c r="H976" t="s">
        <v>74</v>
      </c>
      <c r="I976" t="s">
        <v>12771</v>
      </c>
      <c r="J976" t="s">
        <v>12772</v>
      </c>
      <c r="K976" t="s">
        <v>74</v>
      </c>
      <c r="L976" t="s">
        <v>74</v>
      </c>
      <c r="M976" t="s">
        <v>77</v>
      </c>
      <c r="N976" t="s">
        <v>103</v>
      </c>
      <c r="O976" t="s">
        <v>74</v>
      </c>
      <c r="P976" t="s">
        <v>74</v>
      </c>
      <c r="Q976" t="s">
        <v>74</v>
      </c>
      <c r="R976" t="s">
        <v>74</v>
      </c>
      <c r="S976" t="s">
        <v>74</v>
      </c>
      <c r="T976" t="s">
        <v>74</v>
      </c>
      <c r="U976" t="s">
        <v>12773</v>
      </c>
      <c r="V976" t="s">
        <v>12774</v>
      </c>
      <c r="W976" t="s">
        <v>12775</v>
      </c>
      <c r="X976" t="s">
        <v>12776</v>
      </c>
      <c r="Y976" t="s">
        <v>12777</v>
      </c>
      <c r="Z976" t="s">
        <v>74</v>
      </c>
      <c r="AA976" t="s">
        <v>74</v>
      </c>
      <c r="AB976" t="s">
        <v>12778</v>
      </c>
      <c r="AC976" t="s">
        <v>74</v>
      </c>
      <c r="AD976" t="s">
        <v>74</v>
      </c>
      <c r="AE976" t="s">
        <v>74</v>
      </c>
      <c r="AF976" t="s">
        <v>74</v>
      </c>
      <c r="AG976">
        <v>45</v>
      </c>
      <c r="AH976">
        <v>14</v>
      </c>
      <c r="AI976">
        <v>14</v>
      </c>
      <c r="AJ976">
        <v>0</v>
      </c>
      <c r="AK976">
        <v>0</v>
      </c>
      <c r="AL976" t="s">
        <v>445</v>
      </c>
      <c r="AM976" t="s">
        <v>229</v>
      </c>
      <c r="AN976" t="s">
        <v>446</v>
      </c>
      <c r="AO976" t="s">
        <v>12779</v>
      </c>
      <c r="AP976" t="s">
        <v>74</v>
      </c>
      <c r="AQ976" t="s">
        <v>74</v>
      </c>
      <c r="AR976" t="s">
        <v>12780</v>
      </c>
      <c r="AS976" t="s">
        <v>12781</v>
      </c>
      <c r="AT976" t="s">
        <v>12254</v>
      </c>
      <c r="AU976">
        <v>1998</v>
      </c>
      <c r="AV976">
        <v>46</v>
      </c>
      <c r="AW976">
        <v>4</v>
      </c>
      <c r="AX976" t="s">
        <v>74</v>
      </c>
      <c r="AY976" t="s">
        <v>74</v>
      </c>
      <c r="AZ976" t="s">
        <v>74</v>
      </c>
      <c r="BA976" t="s">
        <v>74</v>
      </c>
      <c r="BB976">
        <v>439</v>
      </c>
      <c r="BC976">
        <v>448</v>
      </c>
      <c r="BD976" t="s">
        <v>74</v>
      </c>
      <c r="BE976" t="s">
        <v>12782</v>
      </c>
      <c r="BF976" t="str">
        <f>HYPERLINK("http://dx.doi.org/10.1016/S0032-0633(97)00202-X","http://dx.doi.org/10.1016/S0032-0633(97)00202-X")</f>
        <v>http://dx.doi.org/10.1016/S0032-0633(97)00202-X</v>
      </c>
      <c r="BG976" t="s">
        <v>74</v>
      </c>
      <c r="BH976" t="s">
        <v>74</v>
      </c>
      <c r="BI976">
        <v>10</v>
      </c>
      <c r="BJ976" t="s">
        <v>1464</v>
      </c>
      <c r="BK976" t="s">
        <v>95</v>
      </c>
      <c r="BL976" t="s">
        <v>1464</v>
      </c>
      <c r="BM976" t="s">
        <v>12783</v>
      </c>
      <c r="BN976" t="s">
        <v>74</v>
      </c>
      <c r="BO976" t="s">
        <v>74</v>
      </c>
      <c r="BP976" t="s">
        <v>74</v>
      </c>
      <c r="BQ976" t="s">
        <v>74</v>
      </c>
      <c r="BR976" t="s">
        <v>98</v>
      </c>
      <c r="BS976" t="s">
        <v>12784</v>
      </c>
      <c r="BT976" t="str">
        <f>HYPERLINK("https%3A%2F%2Fwww.webofscience.com%2Fwos%2Fwoscc%2Ffull-record%2FWOS:000073895100012","View Full Record in Web of Science")</f>
        <v>View Full Record in Web of Science</v>
      </c>
    </row>
    <row r="977" spans="1:72" x14ac:dyDescent="0.15">
      <c r="A977" t="s">
        <v>72</v>
      </c>
      <c r="B977" t="s">
        <v>12785</v>
      </c>
      <c r="C977" t="s">
        <v>74</v>
      </c>
      <c r="D977" t="s">
        <v>74</v>
      </c>
      <c r="E977" t="s">
        <v>74</v>
      </c>
      <c r="F977" t="s">
        <v>12785</v>
      </c>
      <c r="G977" t="s">
        <v>74</v>
      </c>
      <c r="H977" t="s">
        <v>74</v>
      </c>
      <c r="I977" t="s">
        <v>12786</v>
      </c>
      <c r="J977" t="s">
        <v>2603</v>
      </c>
      <c r="K977" t="s">
        <v>74</v>
      </c>
      <c r="L977" t="s">
        <v>74</v>
      </c>
      <c r="M977" t="s">
        <v>77</v>
      </c>
      <c r="N977" t="s">
        <v>103</v>
      </c>
      <c r="O977" t="s">
        <v>74</v>
      </c>
      <c r="P977" t="s">
        <v>74</v>
      </c>
      <c r="Q977" t="s">
        <v>74</v>
      </c>
      <c r="R977" t="s">
        <v>74</v>
      </c>
      <c r="S977" t="s">
        <v>74</v>
      </c>
      <c r="T977" t="s">
        <v>74</v>
      </c>
      <c r="U977" t="s">
        <v>12787</v>
      </c>
      <c r="V977" t="s">
        <v>12788</v>
      </c>
      <c r="W977" t="s">
        <v>944</v>
      </c>
      <c r="X977" t="s">
        <v>628</v>
      </c>
      <c r="Y977" t="s">
        <v>12789</v>
      </c>
      <c r="Z977" t="s">
        <v>74</v>
      </c>
      <c r="AA977" t="s">
        <v>74</v>
      </c>
      <c r="AB977" t="s">
        <v>865</v>
      </c>
      <c r="AC977" t="s">
        <v>74</v>
      </c>
      <c r="AD977" t="s">
        <v>74</v>
      </c>
      <c r="AE977" t="s">
        <v>74</v>
      </c>
      <c r="AF977" t="s">
        <v>74</v>
      </c>
      <c r="AG977">
        <v>24</v>
      </c>
      <c r="AH977">
        <v>29</v>
      </c>
      <c r="AI977">
        <v>32</v>
      </c>
      <c r="AJ977">
        <v>0</v>
      </c>
      <c r="AK977">
        <v>5</v>
      </c>
      <c r="AL977" t="s">
        <v>887</v>
      </c>
      <c r="AM977" t="s">
        <v>278</v>
      </c>
      <c r="AN977" t="s">
        <v>888</v>
      </c>
      <c r="AO977" t="s">
        <v>2610</v>
      </c>
      <c r="AP977" t="s">
        <v>74</v>
      </c>
      <c r="AQ977" t="s">
        <v>74</v>
      </c>
      <c r="AR977" t="s">
        <v>2612</v>
      </c>
      <c r="AS977" t="s">
        <v>2613</v>
      </c>
      <c r="AT977" t="s">
        <v>12254</v>
      </c>
      <c r="AU977">
        <v>1998</v>
      </c>
      <c r="AV977">
        <v>19</v>
      </c>
      <c r="AW977">
        <v>4</v>
      </c>
      <c r="AX977" t="s">
        <v>74</v>
      </c>
      <c r="AY977" t="s">
        <v>74</v>
      </c>
      <c r="AZ977" t="s">
        <v>74</v>
      </c>
      <c r="BA977" t="s">
        <v>74</v>
      </c>
      <c r="BB977">
        <v>231</v>
      </c>
      <c r="BC977">
        <v>236</v>
      </c>
      <c r="BD977" t="s">
        <v>74</v>
      </c>
      <c r="BE977" t="s">
        <v>12790</v>
      </c>
      <c r="BF977" t="str">
        <f>HYPERLINK("http://dx.doi.org/10.1007/s003000050239","http://dx.doi.org/10.1007/s003000050239")</f>
        <v>http://dx.doi.org/10.1007/s003000050239</v>
      </c>
      <c r="BG977" t="s">
        <v>74</v>
      </c>
      <c r="BH977" t="s">
        <v>74</v>
      </c>
      <c r="BI977">
        <v>6</v>
      </c>
      <c r="BJ977" t="s">
        <v>2615</v>
      </c>
      <c r="BK977" t="s">
        <v>95</v>
      </c>
      <c r="BL977" t="s">
        <v>2616</v>
      </c>
      <c r="BM977" t="s">
        <v>12791</v>
      </c>
      <c r="BN977" t="s">
        <v>74</v>
      </c>
      <c r="BO977" t="s">
        <v>74</v>
      </c>
      <c r="BP977" t="s">
        <v>74</v>
      </c>
      <c r="BQ977" t="s">
        <v>74</v>
      </c>
      <c r="BR977" t="s">
        <v>98</v>
      </c>
      <c r="BS977" t="s">
        <v>12792</v>
      </c>
      <c r="BT977" t="str">
        <f>HYPERLINK("https%3A%2F%2Fwww.webofscience.com%2Fwos%2Fwoscc%2Ffull-record%2FWOS:000072904600002","View Full Record in Web of Science")</f>
        <v>View Full Record in Web of Science</v>
      </c>
    </row>
    <row r="978" spans="1:72" x14ac:dyDescent="0.15">
      <c r="A978" t="s">
        <v>72</v>
      </c>
      <c r="B978" t="s">
        <v>12793</v>
      </c>
      <c r="C978" t="s">
        <v>74</v>
      </c>
      <c r="D978" t="s">
        <v>74</v>
      </c>
      <c r="E978" t="s">
        <v>74</v>
      </c>
      <c r="F978" t="s">
        <v>12793</v>
      </c>
      <c r="G978" t="s">
        <v>74</v>
      </c>
      <c r="H978" t="s">
        <v>74</v>
      </c>
      <c r="I978" t="s">
        <v>12794</v>
      </c>
      <c r="J978" t="s">
        <v>2603</v>
      </c>
      <c r="K978" t="s">
        <v>74</v>
      </c>
      <c r="L978" t="s">
        <v>74</v>
      </c>
      <c r="M978" t="s">
        <v>77</v>
      </c>
      <c r="N978" t="s">
        <v>103</v>
      </c>
      <c r="O978" t="s">
        <v>74</v>
      </c>
      <c r="P978" t="s">
        <v>74</v>
      </c>
      <c r="Q978" t="s">
        <v>74</v>
      </c>
      <c r="R978" t="s">
        <v>74</v>
      </c>
      <c r="S978" t="s">
        <v>74</v>
      </c>
      <c r="T978" t="s">
        <v>74</v>
      </c>
      <c r="U978" t="s">
        <v>12795</v>
      </c>
      <c r="V978" t="s">
        <v>12796</v>
      </c>
      <c r="W978" t="s">
        <v>12797</v>
      </c>
      <c r="X978" t="s">
        <v>5515</v>
      </c>
      <c r="Y978" t="s">
        <v>12798</v>
      </c>
      <c r="Z978" t="s">
        <v>74</v>
      </c>
      <c r="AA978" t="s">
        <v>12799</v>
      </c>
      <c r="AB978" t="s">
        <v>12800</v>
      </c>
      <c r="AC978" t="s">
        <v>74</v>
      </c>
      <c r="AD978" t="s">
        <v>74</v>
      </c>
      <c r="AE978" t="s">
        <v>74</v>
      </c>
      <c r="AF978" t="s">
        <v>74</v>
      </c>
      <c r="AG978">
        <v>56</v>
      </c>
      <c r="AH978">
        <v>45</v>
      </c>
      <c r="AI978">
        <v>55</v>
      </c>
      <c r="AJ978">
        <v>0</v>
      </c>
      <c r="AK978">
        <v>9</v>
      </c>
      <c r="AL978" t="s">
        <v>887</v>
      </c>
      <c r="AM978" t="s">
        <v>278</v>
      </c>
      <c r="AN978" t="s">
        <v>888</v>
      </c>
      <c r="AO978" t="s">
        <v>2610</v>
      </c>
      <c r="AP978" t="s">
        <v>74</v>
      </c>
      <c r="AQ978" t="s">
        <v>74</v>
      </c>
      <c r="AR978" t="s">
        <v>2612</v>
      </c>
      <c r="AS978" t="s">
        <v>2613</v>
      </c>
      <c r="AT978" t="s">
        <v>12254</v>
      </c>
      <c r="AU978">
        <v>1998</v>
      </c>
      <c r="AV978">
        <v>19</v>
      </c>
      <c r="AW978">
        <v>4</v>
      </c>
      <c r="AX978" t="s">
        <v>74</v>
      </c>
      <c r="AY978" t="s">
        <v>74</v>
      </c>
      <c r="AZ978" t="s">
        <v>74</v>
      </c>
      <c r="BA978" t="s">
        <v>74</v>
      </c>
      <c r="BB978">
        <v>237</v>
      </c>
      <c r="BC978">
        <v>241</v>
      </c>
      <c r="BD978" t="s">
        <v>74</v>
      </c>
      <c r="BE978" t="s">
        <v>12801</v>
      </c>
      <c r="BF978" t="str">
        <f>HYPERLINK("http://dx.doi.org/10.1007/s003000050240","http://dx.doi.org/10.1007/s003000050240")</f>
        <v>http://dx.doi.org/10.1007/s003000050240</v>
      </c>
      <c r="BG978" t="s">
        <v>74</v>
      </c>
      <c r="BH978" t="s">
        <v>74</v>
      </c>
      <c r="BI978">
        <v>5</v>
      </c>
      <c r="BJ978" t="s">
        <v>2615</v>
      </c>
      <c r="BK978" t="s">
        <v>95</v>
      </c>
      <c r="BL978" t="s">
        <v>2616</v>
      </c>
      <c r="BM978" t="s">
        <v>12791</v>
      </c>
      <c r="BN978" t="s">
        <v>74</v>
      </c>
      <c r="BO978" t="s">
        <v>74</v>
      </c>
      <c r="BP978" t="s">
        <v>74</v>
      </c>
      <c r="BQ978" t="s">
        <v>74</v>
      </c>
      <c r="BR978" t="s">
        <v>98</v>
      </c>
      <c r="BS978" t="s">
        <v>12802</v>
      </c>
      <c r="BT978" t="str">
        <f>HYPERLINK("https%3A%2F%2Fwww.webofscience.com%2Fwos%2Fwoscc%2Ffull-record%2FWOS:000072904600003","View Full Record in Web of Science")</f>
        <v>View Full Record in Web of Science</v>
      </c>
    </row>
    <row r="979" spans="1:72" x14ac:dyDescent="0.15">
      <c r="A979" t="s">
        <v>72</v>
      </c>
      <c r="B979" t="s">
        <v>12587</v>
      </c>
      <c r="C979" t="s">
        <v>74</v>
      </c>
      <c r="D979" t="s">
        <v>74</v>
      </c>
      <c r="E979" t="s">
        <v>74</v>
      </c>
      <c r="F979" t="s">
        <v>12587</v>
      </c>
      <c r="G979" t="s">
        <v>74</v>
      </c>
      <c r="H979" t="s">
        <v>74</v>
      </c>
      <c r="I979" t="s">
        <v>12803</v>
      </c>
      <c r="J979" t="s">
        <v>2603</v>
      </c>
      <c r="K979" t="s">
        <v>74</v>
      </c>
      <c r="L979" t="s">
        <v>74</v>
      </c>
      <c r="M979" t="s">
        <v>77</v>
      </c>
      <c r="N979" t="s">
        <v>103</v>
      </c>
      <c r="O979" t="s">
        <v>74</v>
      </c>
      <c r="P979" t="s">
        <v>74</v>
      </c>
      <c r="Q979" t="s">
        <v>74</v>
      </c>
      <c r="R979" t="s">
        <v>74</v>
      </c>
      <c r="S979" t="s">
        <v>74</v>
      </c>
      <c r="T979" t="s">
        <v>74</v>
      </c>
      <c r="U979" t="s">
        <v>12804</v>
      </c>
      <c r="V979" t="s">
        <v>12805</v>
      </c>
      <c r="W979" t="s">
        <v>1617</v>
      </c>
      <c r="X979" t="s">
        <v>1618</v>
      </c>
      <c r="Y979" t="s">
        <v>1619</v>
      </c>
      <c r="Z979" t="s">
        <v>12806</v>
      </c>
      <c r="AA979" t="s">
        <v>12807</v>
      </c>
      <c r="AB979" t="s">
        <v>12808</v>
      </c>
      <c r="AC979" t="s">
        <v>74</v>
      </c>
      <c r="AD979" t="s">
        <v>74</v>
      </c>
      <c r="AE979" t="s">
        <v>74</v>
      </c>
      <c r="AF979" t="s">
        <v>74</v>
      </c>
      <c r="AG979">
        <v>42</v>
      </c>
      <c r="AH979">
        <v>45</v>
      </c>
      <c r="AI979">
        <v>46</v>
      </c>
      <c r="AJ979">
        <v>0</v>
      </c>
      <c r="AK979">
        <v>4</v>
      </c>
      <c r="AL979" t="s">
        <v>805</v>
      </c>
      <c r="AM979" t="s">
        <v>278</v>
      </c>
      <c r="AN979" t="s">
        <v>806</v>
      </c>
      <c r="AO979" t="s">
        <v>2610</v>
      </c>
      <c r="AP979" t="s">
        <v>2611</v>
      </c>
      <c r="AQ979" t="s">
        <v>74</v>
      </c>
      <c r="AR979" t="s">
        <v>2612</v>
      </c>
      <c r="AS979" t="s">
        <v>2613</v>
      </c>
      <c r="AT979" t="s">
        <v>12254</v>
      </c>
      <c r="AU979">
        <v>1998</v>
      </c>
      <c r="AV979">
        <v>19</v>
      </c>
      <c r="AW979">
        <v>4</v>
      </c>
      <c r="AX979" t="s">
        <v>74</v>
      </c>
      <c r="AY979" t="s">
        <v>74</v>
      </c>
      <c r="AZ979" t="s">
        <v>74</v>
      </c>
      <c r="BA979" t="s">
        <v>74</v>
      </c>
      <c r="BB979">
        <v>242</v>
      </c>
      <c r="BC979">
        <v>249</v>
      </c>
      <c r="BD979" t="s">
        <v>74</v>
      </c>
      <c r="BE979" t="s">
        <v>12809</v>
      </c>
      <c r="BF979" t="str">
        <f>HYPERLINK("http://dx.doi.org/10.1007/s003000050241","http://dx.doi.org/10.1007/s003000050241")</f>
        <v>http://dx.doi.org/10.1007/s003000050241</v>
      </c>
      <c r="BG979" t="s">
        <v>74</v>
      </c>
      <c r="BH979" t="s">
        <v>74</v>
      </c>
      <c r="BI979">
        <v>8</v>
      </c>
      <c r="BJ979" t="s">
        <v>2615</v>
      </c>
      <c r="BK979" t="s">
        <v>95</v>
      </c>
      <c r="BL979" t="s">
        <v>2616</v>
      </c>
      <c r="BM979" t="s">
        <v>12791</v>
      </c>
      <c r="BN979" t="s">
        <v>74</v>
      </c>
      <c r="BO979" t="s">
        <v>74</v>
      </c>
      <c r="BP979" t="s">
        <v>74</v>
      </c>
      <c r="BQ979" t="s">
        <v>74</v>
      </c>
      <c r="BR979" t="s">
        <v>98</v>
      </c>
      <c r="BS979" t="s">
        <v>12810</v>
      </c>
      <c r="BT979" t="str">
        <f>HYPERLINK("https%3A%2F%2Fwww.webofscience.com%2Fwos%2Fwoscc%2Ffull-record%2FWOS:000072904600004","View Full Record in Web of Science")</f>
        <v>View Full Record in Web of Science</v>
      </c>
    </row>
    <row r="980" spans="1:72" x14ac:dyDescent="0.15">
      <c r="A980" t="s">
        <v>72</v>
      </c>
      <c r="B980" t="s">
        <v>12811</v>
      </c>
      <c r="C980" t="s">
        <v>74</v>
      </c>
      <c r="D980" t="s">
        <v>74</v>
      </c>
      <c r="E980" t="s">
        <v>74</v>
      </c>
      <c r="F980" t="s">
        <v>12811</v>
      </c>
      <c r="G980" t="s">
        <v>74</v>
      </c>
      <c r="H980" t="s">
        <v>74</v>
      </c>
      <c r="I980" t="s">
        <v>12812</v>
      </c>
      <c r="J980" t="s">
        <v>2603</v>
      </c>
      <c r="K980" t="s">
        <v>74</v>
      </c>
      <c r="L980" t="s">
        <v>74</v>
      </c>
      <c r="M980" t="s">
        <v>77</v>
      </c>
      <c r="N980" t="s">
        <v>103</v>
      </c>
      <c r="O980" t="s">
        <v>74</v>
      </c>
      <c r="P980" t="s">
        <v>74</v>
      </c>
      <c r="Q980" t="s">
        <v>74</v>
      </c>
      <c r="R980" t="s">
        <v>74</v>
      </c>
      <c r="S980" t="s">
        <v>74</v>
      </c>
      <c r="T980" t="s">
        <v>74</v>
      </c>
      <c r="U980" t="s">
        <v>12813</v>
      </c>
      <c r="V980" t="s">
        <v>12814</v>
      </c>
      <c r="W980" t="s">
        <v>944</v>
      </c>
      <c r="X980" t="s">
        <v>628</v>
      </c>
      <c r="Y980" t="s">
        <v>12815</v>
      </c>
      <c r="Z980" t="s">
        <v>12816</v>
      </c>
      <c r="AA980" t="s">
        <v>74</v>
      </c>
      <c r="AB980" t="s">
        <v>74</v>
      </c>
      <c r="AC980" t="s">
        <v>74</v>
      </c>
      <c r="AD980" t="s">
        <v>74</v>
      </c>
      <c r="AE980" t="s">
        <v>74</v>
      </c>
      <c r="AF980" t="s">
        <v>74</v>
      </c>
      <c r="AG980">
        <v>43</v>
      </c>
      <c r="AH980">
        <v>19</v>
      </c>
      <c r="AI980">
        <v>21</v>
      </c>
      <c r="AJ980">
        <v>0</v>
      </c>
      <c r="AK980">
        <v>8</v>
      </c>
      <c r="AL980" t="s">
        <v>805</v>
      </c>
      <c r="AM980" t="s">
        <v>278</v>
      </c>
      <c r="AN980" t="s">
        <v>806</v>
      </c>
      <c r="AO980" t="s">
        <v>2610</v>
      </c>
      <c r="AP980" t="s">
        <v>74</v>
      </c>
      <c r="AQ980" t="s">
        <v>74</v>
      </c>
      <c r="AR980" t="s">
        <v>2612</v>
      </c>
      <c r="AS980" t="s">
        <v>2613</v>
      </c>
      <c r="AT980" t="s">
        <v>12254</v>
      </c>
      <c r="AU980">
        <v>1998</v>
      </c>
      <c r="AV980">
        <v>19</v>
      </c>
      <c r="AW980">
        <v>4</v>
      </c>
      <c r="AX980" t="s">
        <v>74</v>
      </c>
      <c r="AY980" t="s">
        <v>74</v>
      </c>
      <c r="AZ980" t="s">
        <v>74</v>
      </c>
      <c r="BA980" t="s">
        <v>74</v>
      </c>
      <c r="BB980">
        <v>250</v>
      </c>
      <c r="BC980">
        <v>256</v>
      </c>
      <c r="BD980" t="s">
        <v>74</v>
      </c>
      <c r="BE980" t="s">
        <v>12817</v>
      </c>
      <c r="BF980" t="str">
        <f>HYPERLINK("http://dx.doi.org/10.1007/s003000050242","http://dx.doi.org/10.1007/s003000050242")</f>
        <v>http://dx.doi.org/10.1007/s003000050242</v>
      </c>
      <c r="BG980" t="s">
        <v>74</v>
      </c>
      <c r="BH980" t="s">
        <v>74</v>
      </c>
      <c r="BI980">
        <v>7</v>
      </c>
      <c r="BJ980" t="s">
        <v>2615</v>
      </c>
      <c r="BK980" t="s">
        <v>95</v>
      </c>
      <c r="BL980" t="s">
        <v>2616</v>
      </c>
      <c r="BM980" t="s">
        <v>12791</v>
      </c>
      <c r="BN980" t="s">
        <v>74</v>
      </c>
      <c r="BO980" t="s">
        <v>74</v>
      </c>
      <c r="BP980" t="s">
        <v>74</v>
      </c>
      <c r="BQ980" t="s">
        <v>74</v>
      </c>
      <c r="BR980" t="s">
        <v>98</v>
      </c>
      <c r="BS980" t="s">
        <v>12818</v>
      </c>
      <c r="BT980" t="str">
        <f>HYPERLINK("https%3A%2F%2Fwww.webofscience.com%2Fwos%2Fwoscc%2Ffull-record%2FWOS:000072904600005","View Full Record in Web of Science")</f>
        <v>View Full Record in Web of Science</v>
      </c>
    </row>
    <row r="981" spans="1:72" x14ac:dyDescent="0.15">
      <c r="A981" t="s">
        <v>72</v>
      </c>
      <c r="B981" t="s">
        <v>12819</v>
      </c>
      <c r="C981" t="s">
        <v>74</v>
      </c>
      <c r="D981" t="s">
        <v>74</v>
      </c>
      <c r="E981" t="s">
        <v>74</v>
      </c>
      <c r="F981" t="s">
        <v>12819</v>
      </c>
      <c r="G981" t="s">
        <v>74</v>
      </c>
      <c r="H981" t="s">
        <v>74</v>
      </c>
      <c r="I981" t="s">
        <v>12820</v>
      </c>
      <c r="J981" t="s">
        <v>2603</v>
      </c>
      <c r="K981" t="s">
        <v>74</v>
      </c>
      <c r="L981" t="s">
        <v>74</v>
      </c>
      <c r="M981" t="s">
        <v>77</v>
      </c>
      <c r="N981" t="s">
        <v>103</v>
      </c>
      <c r="O981" t="s">
        <v>74</v>
      </c>
      <c r="P981" t="s">
        <v>74</v>
      </c>
      <c r="Q981" t="s">
        <v>74</v>
      </c>
      <c r="R981" t="s">
        <v>74</v>
      </c>
      <c r="S981" t="s">
        <v>74</v>
      </c>
      <c r="T981" t="s">
        <v>74</v>
      </c>
      <c r="U981" t="s">
        <v>12821</v>
      </c>
      <c r="V981" t="s">
        <v>12822</v>
      </c>
      <c r="W981" t="s">
        <v>12823</v>
      </c>
      <c r="X981" t="s">
        <v>12824</v>
      </c>
      <c r="Y981" t="s">
        <v>12825</v>
      </c>
      <c r="Z981" t="s">
        <v>74</v>
      </c>
      <c r="AA981" t="s">
        <v>12826</v>
      </c>
      <c r="AB981" t="s">
        <v>12827</v>
      </c>
      <c r="AC981" t="s">
        <v>74</v>
      </c>
      <c r="AD981" t="s">
        <v>74</v>
      </c>
      <c r="AE981" t="s">
        <v>74</v>
      </c>
      <c r="AF981" t="s">
        <v>74</v>
      </c>
      <c r="AG981">
        <v>58</v>
      </c>
      <c r="AH981">
        <v>89</v>
      </c>
      <c r="AI981">
        <v>95</v>
      </c>
      <c r="AJ981">
        <v>0</v>
      </c>
      <c r="AK981">
        <v>9</v>
      </c>
      <c r="AL981" t="s">
        <v>805</v>
      </c>
      <c r="AM981" t="s">
        <v>278</v>
      </c>
      <c r="AN981" t="s">
        <v>806</v>
      </c>
      <c r="AO981" t="s">
        <v>2610</v>
      </c>
      <c r="AP981" t="s">
        <v>74</v>
      </c>
      <c r="AQ981" t="s">
        <v>74</v>
      </c>
      <c r="AR981" t="s">
        <v>2612</v>
      </c>
      <c r="AS981" t="s">
        <v>2613</v>
      </c>
      <c r="AT981" t="s">
        <v>12254</v>
      </c>
      <c r="AU981">
        <v>1998</v>
      </c>
      <c r="AV981">
        <v>19</v>
      </c>
      <c r="AW981">
        <v>4</v>
      </c>
      <c r="AX981" t="s">
        <v>74</v>
      </c>
      <c r="AY981" t="s">
        <v>74</v>
      </c>
      <c r="AZ981" t="s">
        <v>74</v>
      </c>
      <c r="BA981" t="s">
        <v>74</v>
      </c>
      <c r="BB981">
        <v>264</v>
      </c>
      <c r="BC981">
        <v>271</v>
      </c>
      <c r="BD981" t="s">
        <v>74</v>
      </c>
      <c r="BE981" t="s">
        <v>12828</v>
      </c>
      <c r="BF981" t="str">
        <f>HYPERLINK("http://dx.doi.org/10.1007/s003000050244","http://dx.doi.org/10.1007/s003000050244")</f>
        <v>http://dx.doi.org/10.1007/s003000050244</v>
      </c>
      <c r="BG981" t="s">
        <v>74</v>
      </c>
      <c r="BH981" t="s">
        <v>74</v>
      </c>
      <c r="BI981">
        <v>8</v>
      </c>
      <c r="BJ981" t="s">
        <v>2615</v>
      </c>
      <c r="BK981" t="s">
        <v>95</v>
      </c>
      <c r="BL981" t="s">
        <v>2616</v>
      </c>
      <c r="BM981" t="s">
        <v>12791</v>
      </c>
      <c r="BN981" t="s">
        <v>74</v>
      </c>
      <c r="BO981" t="s">
        <v>483</v>
      </c>
      <c r="BP981" t="s">
        <v>74</v>
      </c>
      <c r="BQ981" t="s">
        <v>74</v>
      </c>
      <c r="BR981" t="s">
        <v>98</v>
      </c>
      <c r="BS981" t="s">
        <v>12829</v>
      </c>
      <c r="BT981" t="str">
        <f>HYPERLINK("https%3A%2F%2Fwww.webofscience.com%2Fwos%2Fwoscc%2Ffull-record%2FWOS:000072904600007","View Full Record in Web of Science")</f>
        <v>View Full Record in Web of Science</v>
      </c>
    </row>
    <row r="982" spans="1:72" x14ac:dyDescent="0.15">
      <c r="A982" t="s">
        <v>72</v>
      </c>
      <c r="B982" t="s">
        <v>12830</v>
      </c>
      <c r="C982" t="s">
        <v>74</v>
      </c>
      <c r="D982" t="s">
        <v>74</v>
      </c>
      <c r="E982" t="s">
        <v>74</v>
      </c>
      <c r="F982" t="s">
        <v>12830</v>
      </c>
      <c r="G982" t="s">
        <v>74</v>
      </c>
      <c r="H982" t="s">
        <v>74</v>
      </c>
      <c r="I982" t="s">
        <v>12831</v>
      </c>
      <c r="J982" t="s">
        <v>2603</v>
      </c>
      <c r="K982" t="s">
        <v>74</v>
      </c>
      <c r="L982" t="s">
        <v>74</v>
      </c>
      <c r="M982" t="s">
        <v>77</v>
      </c>
      <c r="N982" t="s">
        <v>103</v>
      </c>
      <c r="O982" t="s">
        <v>74</v>
      </c>
      <c r="P982" t="s">
        <v>74</v>
      </c>
      <c r="Q982" t="s">
        <v>74</v>
      </c>
      <c r="R982" t="s">
        <v>74</v>
      </c>
      <c r="S982" t="s">
        <v>74</v>
      </c>
      <c r="T982" t="s">
        <v>74</v>
      </c>
      <c r="U982" t="s">
        <v>12832</v>
      </c>
      <c r="V982" t="s">
        <v>12833</v>
      </c>
      <c r="W982" t="s">
        <v>4657</v>
      </c>
      <c r="X982" t="s">
        <v>4658</v>
      </c>
      <c r="Y982" t="s">
        <v>4677</v>
      </c>
      <c r="Z982" t="s">
        <v>74</v>
      </c>
      <c r="AA982" t="s">
        <v>74</v>
      </c>
      <c r="AB982" t="s">
        <v>74</v>
      </c>
      <c r="AC982" t="s">
        <v>74</v>
      </c>
      <c r="AD982" t="s">
        <v>74</v>
      </c>
      <c r="AE982" t="s">
        <v>74</v>
      </c>
      <c r="AF982" t="s">
        <v>74</v>
      </c>
      <c r="AG982">
        <v>19</v>
      </c>
      <c r="AH982">
        <v>24</v>
      </c>
      <c r="AI982">
        <v>26</v>
      </c>
      <c r="AJ982">
        <v>0</v>
      </c>
      <c r="AK982">
        <v>6</v>
      </c>
      <c r="AL982" t="s">
        <v>887</v>
      </c>
      <c r="AM982" t="s">
        <v>278</v>
      </c>
      <c r="AN982" t="s">
        <v>888</v>
      </c>
      <c r="AO982" t="s">
        <v>2610</v>
      </c>
      <c r="AP982" t="s">
        <v>74</v>
      </c>
      <c r="AQ982" t="s">
        <v>74</v>
      </c>
      <c r="AR982" t="s">
        <v>2612</v>
      </c>
      <c r="AS982" t="s">
        <v>2613</v>
      </c>
      <c r="AT982" t="s">
        <v>12254</v>
      </c>
      <c r="AU982">
        <v>1998</v>
      </c>
      <c r="AV982">
        <v>19</v>
      </c>
      <c r="AW982">
        <v>4</v>
      </c>
      <c r="AX982" t="s">
        <v>74</v>
      </c>
      <c r="AY982" t="s">
        <v>74</v>
      </c>
      <c r="AZ982" t="s">
        <v>74</v>
      </c>
      <c r="BA982" t="s">
        <v>74</v>
      </c>
      <c r="BB982">
        <v>283</v>
      </c>
      <c r="BC982">
        <v>285</v>
      </c>
      <c r="BD982" t="s">
        <v>74</v>
      </c>
      <c r="BE982" t="s">
        <v>12834</v>
      </c>
      <c r="BF982" t="str">
        <f>HYPERLINK("http://dx.doi.org/10.1007/s003000050246","http://dx.doi.org/10.1007/s003000050246")</f>
        <v>http://dx.doi.org/10.1007/s003000050246</v>
      </c>
      <c r="BG982" t="s">
        <v>74</v>
      </c>
      <c r="BH982" t="s">
        <v>74</v>
      </c>
      <c r="BI982">
        <v>3</v>
      </c>
      <c r="BJ982" t="s">
        <v>2615</v>
      </c>
      <c r="BK982" t="s">
        <v>95</v>
      </c>
      <c r="BL982" t="s">
        <v>2616</v>
      </c>
      <c r="BM982" t="s">
        <v>12791</v>
      </c>
      <c r="BN982" t="s">
        <v>74</v>
      </c>
      <c r="BO982" t="s">
        <v>74</v>
      </c>
      <c r="BP982" t="s">
        <v>74</v>
      </c>
      <c r="BQ982" t="s">
        <v>74</v>
      </c>
      <c r="BR982" t="s">
        <v>98</v>
      </c>
      <c r="BS982" t="s">
        <v>12835</v>
      </c>
      <c r="BT982" t="str">
        <f>HYPERLINK("https%3A%2F%2Fwww.webofscience.com%2Fwos%2Fwoscc%2Ffull-record%2FWOS:000072904600009","View Full Record in Web of Science")</f>
        <v>View Full Record in Web of Science</v>
      </c>
    </row>
    <row r="983" spans="1:72" x14ac:dyDescent="0.15">
      <c r="A983" t="s">
        <v>72</v>
      </c>
      <c r="B983" t="s">
        <v>12836</v>
      </c>
      <c r="C983" t="s">
        <v>74</v>
      </c>
      <c r="D983" t="s">
        <v>74</v>
      </c>
      <c r="E983" t="s">
        <v>74</v>
      </c>
      <c r="F983" t="s">
        <v>12836</v>
      </c>
      <c r="G983" t="s">
        <v>74</v>
      </c>
      <c r="H983" t="s">
        <v>74</v>
      </c>
      <c r="I983" t="s">
        <v>12837</v>
      </c>
      <c r="J983" t="s">
        <v>2603</v>
      </c>
      <c r="K983" t="s">
        <v>74</v>
      </c>
      <c r="L983" t="s">
        <v>74</v>
      </c>
      <c r="M983" t="s">
        <v>77</v>
      </c>
      <c r="N983" t="s">
        <v>103</v>
      </c>
      <c r="O983" t="s">
        <v>74</v>
      </c>
      <c r="P983" t="s">
        <v>74</v>
      </c>
      <c r="Q983" t="s">
        <v>74</v>
      </c>
      <c r="R983" t="s">
        <v>74</v>
      </c>
      <c r="S983" t="s">
        <v>74</v>
      </c>
      <c r="T983" t="s">
        <v>74</v>
      </c>
      <c r="U983" t="s">
        <v>74</v>
      </c>
      <c r="V983" t="s">
        <v>12838</v>
      </c>
      <c r="W983" t="s">
        <v>12839</v>
      </c>
      <c r="X983" t="s">
        <v>12840</v>
      </c>
      <c r="Y983" t="s">
        <v>12841</v>
      </c>
      <c r="Z983" t="s">
        <v>74</v>
      </c>
      <c r="AA983" t="s">
        <v>12842</v>
      </c>
      <c r="AB983" t="s">
        <v>12843</v>
      </c>
      <c r="AC983" t="s">
        <v>74</v>
      </c>
      <c r="AD983" t="s">
        <v>74</v>
      </c>
      <c r="AE983" t="s">
        <v>74</v>
      </c>
      <c r="AF983" t="s">
        <v>74</v>
      </c>
      <c r="AG983">
        <v>20</v>
      </c>
      <c r="AH983">
        <v>7</v>
      </c>
      <c r="AI983">
        <v>10</v>
      </c>
      <c r="AJ983">
        <v>0</v>
      </c>
      <c r="AK983">
        <v>4</v>
      </c>
      <c r="AL983" t="s">
        <v>887</v>
      </c>
      <c r="AM983" t="s">
        <v>278</v>
      </c>
      <c r="AN983" t="s">
        <v>888</v>
      </c>
      <c r="AO983" t="s">
        <v>2610</v>
      </c>
      <c r="AP983" t="s">
        <v>74</v>
      </c>
      <c r="AQ983" t="s">
        <v>74</v>
      </c>
      <c r="AR983" t="s">
        <v>2612</v>
      </c>
      <c r="AS983" t="s">
        <v>2613</v>
      </c>
      <c r="AT983" t="s">
        <v>12254</v>
      </c>
      <c r="AU983">
        <v>1998</v>
      </c>
      <c r="AV983">
        <v>19</v>
      </c>
      <c r="AW983">
        <v>4</v>
      </c>
      <c r="AX983" t="s">
        <v>74</v>
      </c>
      <c r="AY983" t="s">
        <v>74</v>
      </c>
      <c r="AZ983" t="s">
        <v>74</v>
      </c>
      <c r="BA983" t="s">
        <v>74</v>
      </c>
      <c r="BB983">
        <v>286</v>
      </c>
      <c r="BC983">
        <v>288</v>
      </c>
      <c r="BD983" t="s">
        <v>74</v>
      </c>
      <c r="BE983" t="s">
        <v>12844</v>
      </c>
      <c r="BF983" t="str">
        <f>HYPERLINK("http://dx.doi.org/10.1007/s003000050247","http://dx.doi.org/10.1007/s003000050247")</f>
        <v>http://dx.doi.org/10.1007/s003000050247</v>
      </c>
      <c r="BG983" t="s">
        <v>74</v>
      </c>
      <c r="BH983" t="s">
        <v>74</v>
      </c>
      <c r="BI983">
        <v>3</v>
      </c>
      <c r="BJ983" t="s">
        <v>2615</v>
      </c>
      <c r="BK983" t="s">
        <v>95</v>
      </c>
      <c r="BL983" t="s">
        <v>2616</v>
      </c>
      <c r="BM983" t="s">
        <v>12791</v>
      </c>
      <c r="BN983" t="s">
        <v>74</v>
      </c>
      <c r="BO983" t="s">
        <v>1005</v>
      </c>
      <c r="BP983" t="s">
        <v>74</v>
      </c>
      <c r="BQ983" t="s">
        <v>74</v>
      </c>
      <c r="BR983" t="s">
        <v>98</v>
      </c>
      <c r="BS983" t="s">
        <v>12845</v>
      </c>
      <c r="BT983" t="str">
        <f>HYPERLINK("https%3A%2F%2Fwww.webofscience.com%2Fwos%2Fwoscc%2Ffull-record%2FWOS:000072904600010","View Full Record in Web of Science")</f>
        <v>View Full Record in Web of Science</v>
      </c>
    </row>
    <row r="984" spans="1:72" x14ac:dyDescent="0.15">
      <c r="A984" t="s">
        <v>72</v>
      </c>
      <c r="B984" t="s">
        <v>12846</v>
      </c>
      <c r="C984" t="s">
        <v>74</v>
      </c>
      <c r="D984" t="s">
        <v>74</v>
      </c>
      <c r="E984" t="s">
        <v>74</v>
      </c>
      <c r="F984" t="s">
        <v>12846</v>
      </c>
      <c r="G984" t="s">
        <v>74</v>
      </c>
      <c r="H984" t="s">
        <v>74</v>
      </c>
      <c r="I984" t="s">
        <v>12847</v>
      </c>
      <c r="J984" t="s">
        <v>2603</v>
      </c>
      <c r="K984" t="s">
        <v>74</v>
      </c>
      <c r="L984" t="s">
        <v>74</v>
      </c>
      <c r="M984" t="s">
        <v>77</v>
      </c>
      <c r="N984" t="s">
        <v>103</v>
      </c>
      <c r="O984" t="s">
        <v>74</v>
      </c>
      <c r="P984" t="s">
        <v>74</v>
      </c>
      <c r="Q984" t="s">
        <v>74</v>
      </c>
      <c r="R984" t="s">
        <v>74</v>
      </c>
      <c r="S984" t="s">
        <v>74</v>
      </c>
      <c r="T984" t="s">
        <v>74</v>
      </c>
      <c r="U984" t="s">
        <v>12848</v>
      </c>
      <c r="V984" t="s">
        <v>12849</v>
      </c>
      <c r="W984" t="s">
        <v>1617</v>
      </c>
      <c r="X984" t="s">
        <v>1618</v>
      </c>
      <c r="Y984" t="s">
        <v>12850</v>
      </c>
      <c r="Z984" t="s">
        <v>1620</v>
      </c>
      <c r="AA984" t="s">
        <v>74</v>
      </c>
      <c r="AB984" t="s">
        <v>74</v>
      </c>
      <c r="AC984" t="s">
        <v>74</v>
      </c>
      <c r="AD984" t="s">
        <v>74</v>
      </c>
      <c r="AE984" t="s">
        <v>74</v>
      </c>
      <c r="AF984" t="s">
        <v>74</v>
      </c>
      <c r="AG984">
        <v>17</v>
      </c>
      <c r="AH984">
        <v>11</v>
      </c>
      <c r="AI984">
        <v>11</v>
      </c>
      <c r="AJ984">
        <v>1</v>
      </c>
      <c r="AK984">
        <v>10</v>
      </c>
      <c r="AL984" t="s">
        <v>805</v>
      </c>
      <c r="AM984" t="s">
        <v>278</v>
      </c>
      <c r="AN984" t="s">
        <v>806</v>
      </c>
      <c r="AO984" t="s">
        <v>2610</v>
      </c>
      <c r="AP984" t="s">
        <v>2611</v>
      </c>
      <c r="AQ984" t="s">
        <v>74</v>
      </c>
      <c r="AR984" t="s">
        <v>2612</v>
      </c>
      <c r="AS984" t="s">
        <v>2613</v>
      </c>
      <c r="AT984" t="s">
        <v>12254</v>
      </c>
      <c r="AU984">
        <v>1998</v>
      </c>
      <c r="AV984">
        <v>19</v>
      </c>
      <c r="AW984">
        <v>4</v>
      </c>
      <c r="AX984" t="s">
        <v>74</v>
      </c>
      <c r="AY984" t="s">
        <v>74</v>
      </c>
      <c r="AZ984" t="s">
        <v>74</v>
      </c>
      <c r="BA984" t="s">
        <v>74</v>
      </c>
      <c r="BB984">
        <v>289</v>
      </c>
      <c r="BC984">
        <v>292</v>
      </c>
      <c r="BD984" t="s">
        <v>74</v>
      </c>
      <c r="BE984" t="s">
        <v>12851</v>
      </c>
      <c r="BF984" t="str">
        <f>HYPERLINK("http://dx.doi.org/10.1007/s003000050248","http://dx.doi.org/10.1007/s003000050248")</f>
        <v>http://dx.doi.org/10.1007/s003000050248</v>
      </c>
      <c r="BG984" t="s">
        <v>74</v>
      </c>
      <c r="BH984" t="s">
        <v>74</v>
      </c>
      <c r="BI984">
        <v>4</v>
      </c>
      <c r="BJ984" t="s">
        <v>2615</v>
      </c>
      <c r="BK984" t="s">
        <v>95</v>
      </c>
      <c r="BL984" t="s">
        <v>2616</v>
      </c>
      <c r="BM984" t="s">
        <v>12791</v>
      </c>
      <c r="BN984" t="s">
        <v>74</v>
      </c>
      <c r="BO984" t="s">
        <v>74</v>
      </c>
      <c r="BP984" t="s">
        <v>74</v>
      </c>
      <c r="BQ984" t="s">
        <v>74</v>
      </c>
      <c r="BR984" t="s">
        <v>98</v>
      </c>
      <c r="BS984" t="s">
        <v>12852</v>
      </c>
      <c r="BT984" t="str">
        <f>HYPERLINK("https%3A%2F%2Fwww.webofscience.com%2Fwos%2Fwoscc%2Ffull-record%2FWOS:000072904600011","View Full Record in Web of Science")</f>
        <v>View Full Record in Web of Science</v>
      </c>
    </row>
    <row r="985" spans="1:72" x14ac:dyDescent="0.15">
      <c r="A985" t="s">
        <v>72</v>
      </c>
      <c r="B985" t="s">
        <v>12853</v>
      </c>
      <c r="C985" t="s">
        <v>74</v>
      </c>
      <c r="D985" t="s">
        <v>74</v>
      </c>
      <c r="E985" t="s">
        <v>74</v>
      </c>
      <c r="F985" t="s">
        <v>12853</v>
      </c>
      <c r="G985" t="s">
        <v>74</v>
      </c>
      <c r="H985" t="s">
        <v>74</v>
      </c>
      <c r="I985" t="s">
        <v>12854</v>
      </c>
      <c r="J985" t="s">
        <v>3198</v>
      </c>
      <c r="K985" t="s">
        <v>74</v>
      </c>
      <c r="L985" t="s">
        <v>74</v>
      </c>
      <c r="M985" t="s">
        <v>77</v>
      </c>
      <c r="N985" t="s">
        <v>103</v>
      </c>
      <c r="O985" t="s">
        <v>74</v>
      </c>
      <c r="P985" t="s">
        <v>74</v>
      </c>
      <c r="Q985" t="s">
        <v>74</v>
      </c>
      <c r="R985" t="s">
        <v>74</v>
      </c>
      <c r="S985" t="s">
        <v>74</v>
      </c>
      <c r="T985" t="s">
        <v>12855</v>
      </c>
      <c r="U985" t="s">
        <v>12856</v>
      </c>
      <c r="V985" t="s">
        <v>12857</v>
      </c>
      <c r="W985" t="s">
        <v>1034</v>
      </c>
      <c r="X985" t="s">
        <v>562</v>
      </c>
      <c r="Y985" t="s">
        <v>1425</v>
      </c>
      <c r="Z985" t="s">
        <v>74</v>
      </c>
      <c r="AA985" t="s">
        <v>12858</v>
      </c>
      <c r="AB985" t="s">
        <v>12859</v>
      </c>
      <c r="AC985" t="s">
        <v>74</v>
      </c>
      <c r="AD985" t="s">
        <v>74</v>
      </c>
      <c r="AE985" t="s">
        <v>74</v>
      </c>
      <c r="AF985" t="s">
        <v>74</v>
      </c>
      <c r="AG985">
        <v>36</v>
      </c>
      <c r="AH985">
        <v>3</v>
      </c>
      <c r="AI985">
        <v>3</v>
      </c>
      <c r="AJ985">
        <v>2</v>
      </c>
      <c r="AK985">
        <v>4</v>
      </c>
      <c r="AL985" t="s">
        <v>928</v>
      </c>
      <c r="AM985" t="s">
        <v>656</v>
      </c>
      <c r="AN985" t="s">
        <v>657</v>
      </c>
      <c r="AO985" t="s">
        <v>3207</v>
      </c>
      <c r="AP985" t="s">
        <v>3208</v>
      </c>
      <c r="AQ985" t="s">
        <v>74</v>
      </c>
      <c r="AR985" t="s">
        <v>3209</v>
      </c>
      <c r="AS985" t="s">
        <v>3210</v>
      </c>
      <c r="AT985" t="s">
        <v>12254</v>
      </c>
      <c r="AU985">
        <v>1998</v>
      </c>
      <c r="AV985">
        <v>124</v>
      </c>
      <c r="AW985">
        <v>547</v>
      </c>
      <c r="AX985" t="s">
        <v>3211</v>
      </c>
      <c r="AY985" t="s">
        <v>74</v>
      </c>
      <c r="AZ985" t="s">
        <v>74</v>
      </c>
      <c r="BA985" t="s">
        <v>74</v>
      </c>
      <c r="BB985">
        <v>811</v>
      </c>
      <c r="BC985">
        <v>828</v>
      </c>
      <c r="BD985" t="s">
        <v>74</v>
      </c>
      <c r="BE985" t="s">
        <v>74</v>
      </c>
      <c r="BF985" t="s">
        <v>74</v>
      </c>
      <c r="BG985" t="s">
        <v>74</v>
      </c>
      <c r="BH985" t="s">
        <v>74</v>
      </c>
      <c r="BI985">
        <v>18</v>
      </c>
      <c r="BJ985" t="s">
        <v>1418</v>
      </c>
      <c r="BK985" t="s">
        <v>95</v>
      </c>
      <c r="BL985" t="s">
        <v>1418</v>
      </c>
      <c r="BM985" t="s">
        <v>12860</v>
      </c>
      <c r="BN985" t="s">
        <v>74</v>
      </c>
      <c r="BO985" t="s">
        <v>74</v>
      </c>
      <c r="BP985" t="s">
        <v>74</v>
      </c>
      <c r="BQ985" t="s">
        <v>74</v>
      </c>
      <c r="BR985" t="s">
        <v>98</v>
      </c>
      <c r="BS985" t="s">
        <v>12861</v>
      </c>
      <c r="BT985" t="str">
        <f>HYPERLINK("https%3A%2F%2Fwww.webofscience.com%2Fwos%2Fwoscc%2Ffull-record%2FWOS:000073367200007","View Full Record in Web of Science")</f>
        <v>View Full Record in Web of Science</v>
      </c>
    </row>
    <row r="986" spans="1:72" x14ac:dyDescent="0.15">
      <c r="A986" t="s">
        <v>72</v>
      </c>
      <c r="B986" t="s">
        <v>12862</v>
      </c>
      <c r="C986" t="s">
        <v>74</v>
      </c>
      <c r="D986" t="s">
        <v>74</v>
      </c>
      <c r="E986" t="s">
        <v>74</v>
      </c>
      <c r="F986" t="s">
        <v>12862</v>
      </c>
      <c r="G986" t="s">
        <v>74</v>
      </c>
      <c r="H986" t="s">
        <v>74</v>
      </c>
      <c r="I986" t="s">
        <v>12863</v>
      </c>
      <c r="J986" t="s">
        <v>12864</v>
      </c>
      <c r="K986" t="s">
        <v>74</v>
      </c>
      <c r="L986" t="s">
        <v>74</v>
      </c>
      <c r="M986" t="s">
        <v>77</v>
      </c>
      <c r="N986" t="s">
        <v>103</v>
      </c>
      <c r="O986" t="s">
        <v>74</v>
      </c>
      <c r="P986" t="s">
        <v>74</v>
      </c>
      <c r="Q986" t="s">
        <v>74</v>
      </c>
      <c r="R986" t="s">
        <v>74</v>
      </c>
      <c r="S986" t="s">
        <v>74</v>
      </c>
      <c r="T986" t="s">
        <v>12865</v>
      </c>
      <c r="U986" t="s">
        <v>12866</v>
      </c>
      <c r="V986" t="s">
        <v>12867</v>
      </c>
      <c r="W986" t="s">
        <v>12868</v>
      </c>
      <c r="X986" t="s">
        <v>12869</v>
      </c>
      <c r="Y986" t="s">
        <v>12870</v>
      </c>
      <c r="Z986" t="s">
        <v>74</v>
      </c>
      <c r="AA986" t="s">
        <v>12871</v>
      </c>
      <c r="AB986" t="s">
        <v>12872</v>
      </c>
      <c r="AC986" t="s">
        <v>74</v>
      </c>
      <c r="AD986" t="s">
        <v>74</v>
      </c>
      <c r="AE986" t="s">
        <v>74</v>
      </c>
      <c r="AF986" t="s">
        <v>74</v>
      </c>
      <c r="AG986">
        <v>27</v>
      </c>
      <c r="AH986">
        <v>61</v>
      </c>
      <c r="AI986">
        <v>68</v>
      </c>
      <c r="AJ986">
        <v>0</v>
      </c>
      <c r="AK986">
        <v>6</v>
      </c>
      <c r="AL986" t="s">
        <v>375</v>
      </c>
      <c r="AM986" t="s">
        <v>376</v>
      </c>
      <c r="AN986" t="s">
        <v>377</v>
      </c>
      <c r="AO986" t="s">
        <v>12873</v>
      </c>
      <c r="AP986" t="s">
        <v>74</v>
      </c>
      <c r="AQ986" t="s">
        <v>74</v>
      </c>
      <c r="AR986" t="s">
        <v>12874</v>
      </c>
      <c r="AS986" t="s">
        <v>12875</v>
      </c>
      <c r="AT986" t="s">
        <v>12254</v>
      </c>
      <c r="AU986">
        <v>1998</v>
      </c>
      <c r="AV986">
        <v>149</v>
      </c>
      <c r="AW986">
        <v>4</v>
      </c>
      <c r="AX986" t="s">
        <v>74</v>
      </c>
      <c r="AY986" t="s">
        <v>74</v>
      </c>
      <c r="AZ986" t="s">
        <v>74</v>
      </c>
      <c r="BA986" t="s">
        <v>74</v>
      </c>
      <c r="BB986">
        <v>289</v>
      </c>
      <c r="BC986">
        <v>300</v>
      </c>
      <c r="BD986" t="s">
        <v>74</v>
      </c>
      <c r="BE986" t="s">
        <v>12876</v>
      </c>
      <c r="BF986" t="str">
        <f>HYPERLINK("http://dx.doi.org/10.1016/S0923-2508(98)80304-5","http://dx.doi.org/10.1016/S0923-2508(98)80304-5")</f>
        <v>http://dx.doi.org/10.1016/S0923-2508(98)80304-5</v>
      </c>
      <c r="BG986" t="s">
        <v>74</v>
      </c>
      <c r="BH986" t="s">
        <v>74</v>
      </c>
      <c r="BI986">
        <v>12</v>
      </c>
      <c r="BJ986" t="s">
        <v>5766</v>
      </c>
      <c r="BK986" t="s">
        <v>95</v>
      </c>
      <c r="BL986" t="s">
        <v>5766</v>
      </c>
      <c r="BM986" t="s">
        <v>12877</v>
      </c>
      <c r="BN986">
        <v>9766230</v>
      </c>
      <c r="BO986" t="s">
        <v>1429</v>
      </c>
      <c r="BP986" t="s">
        <v>74</v>
      </c>
      <c r="BQ986" t="s">
        <v>74</v>
      </c>
      <c r="BR986" t="s">
        <v>98</v>
      </c>
      <c r="BS986" t="s">
        <v>12878</v>
      </c>
      <c r="BT986" t="str">
        <f>HYPERLINK("https%3A%2F%2Fwww.webofscience.com%2Fwos%2Fwoscc%2Ffull-record%2FWOS:000073984300006","View Full Record in Web of Science")</f>
        <v>View Full Record in Web of Science</v>
      </c>
    </row>
    <row r="987" spans="1:72" x14ac:dyDescent="0.15">
      <c r="A987" t="s">
        <v>72</v>
      </c>
      <c r="B987" t="s">
        <v>12879</v>
      </c>
      <c r="C987" t="s">
        <v>74</v>
      </c>
      <c r="D987" t="s">
        <v>74</v>
      </c>
      <c r="E987" t="s">
        <v>74</v>
      </c>
      <c r="F987" t="s">
        <v>12879</v>
      </c>
      <c r="G987" t="s">
        <v>74</v>
      </c>
      <c r="H987" t="s">
        <v>74</v>
      </c>
      <c r="I987" t="s">
        <v>12880</v>
      </c>
      <c r="J987" t="s">
        <v>12881</v>
      </c>
      <c r="K987" t="s">
        <v>74</v>
      </c>
      <c r="L987" t="s">
        <v>74</v>
      </c>
      <c r="M987" t="s">
        <v>77</v>
      </c>
      <c r="N987" t="s">
        <v>103</v>
      </c>
      <c r="O987" t="s">
        <v>74</v>
      </c>
      <c r="P987" t="s">
        <v>74</v>
      </c>
      <c r="Q987" t="s">
        <v>74</v>
      </c>
      <c r="R987" t="s">
        <v>74</v>
      </c>
      <c r="S987" t="s">
        <v>74</v>
      </c>
      <c r="T987" t="s">
        <v>74</v>
      </c>
      <c r="U987" t="s">
        <v>12882</v>
      </c>
      <c r="V987" t="s">
        <v>12883</v>
      </c>
      <c r="W987" t="s">
        <v>12884</v>
      </c>
      <c r="X987" t="s">
        <v>12885</v>
      </c>
      <c r="Y987" t="s">
        <v>12886</v>
      </c>
      <c r="Z987" t="s">
        <v>74</v>
      </c>
      <c r="AA987" t="s">
        <v>12887</v>
      </c>
      <c r="AB987" t="s">
        <v>12888</v>
      </c>
      <c r="AC987" t="s">
        <v>74</v>
      </c>
      <c r="AD987" t="s">
        <v>74</v>
      </c>
      <c r="AE987" t="s">
        <v>74</v>
      </c>
      <c r="AF987" t="s">
        <v>74</v>
      </c>
      <c r="AG987">
        <v>32</v>
      </c>
      <c r="AH987">
        <v>36</v>
      </c>
      <c r="AI987">
        <v>39</v>
      </c>
      <c r="AJ987">
        <v>0</v>
      </c>
      <c r="AK987">
        <v>12</v>
      </c>
      <c r="AL987" t="s">
        <v>1716</v>
      </c>
      <c r="AM987" t="s">
        <v>229</v>
      </c>
      <c r="AN987" t="s">
        <v>1717</v>
      </c>
      <c r="AO987" t="s">
        <v>12889</v>
      </c>
      <c r="AP987" t="s">
        <v>74</v>
      </c>
      <c r="AQ987" t="s">
        <v>74</v>
      </c>
      <c r="AR987" t="s">
        <v>12881</v>
      </c>
      <c r="AS987" t="s">
        <v>12890</v>
      </c>
      <c r="AT987" t="s">
        <v>12254</v>
      </c>
      <c r="AU987">
        <v>1998</v>
      </c>
      <c r="AV987">
        <v>45</v>
      </c>
      <c r="AW987">
        <v>2</v>
      </c>
      <c r="AX987" t="s">
        <v>74</v>
      </c>
      <c r="AY987" t="s">
        <v>74</v>
      </c>
      <c r="AZ987" t="s">
        <v>74</v>
      </c>
      <c r="BA987" t="s">
        <v>74</v>
      </c>
      <c r="BB987">
        <v>397</v>
      </c>
      <c r="BC987">
        <v>410</v>
      </c>
      <c r="BD987" t="s">
        <v>74</v>
      </c>
      <c r="BE987" t="s">
        <v>12891</v>
      </c>
      <c r="BF987" t="str">
        <f>HYPERLINK("http://dx.doi.org/10.1046/j.1365-3091.1998.0159f.x","http://dx.doi.org/10.1046/j.1365-3091.1998.0159f.x")</f>
        <v>http://dx.doi.org/10.1046/j.1365-3091.1998.0159f.x</v>
      </c>
      <c r="BG987" t="s">
        <v>74</v>
      </c>
      <c r="BH987" t="s">
        <v>74</v>
      </c>
      <c r="BI987">
        <v>14</v>
      </c>
      <c r="BJ987" t="s">
        <v>193</v>
      </c>
      <c r="BK987" t="s">
        <v>95</v>
      </c>
      <c r="BL987" t="s">
        <v>193</v>
      </c>
      <c r="BM987" t="s">
        <v>12892</v>
      </c>
      <c r="BN987" t="s">
        <v>74</v>
      </c>
      <c r="BO987" t="s">
        <v>74</v>
      </c>
      <c r="BP987" t="s">
        <v>74</v>
      </c>
      <c r="BQ987" t="s">
        <v>74</v>
      </c>
      <c r="BR987" t="s">
        <v>98</v>
      </c>
      <c r="BS987" t="s">
        <v>12893</v>
      </c>
      <c r="BT987" t="str">
        <f>HYPERLINK("https%3A%2F%2Fwww.webofscience.com%2Fwos%2Fwoscc%2Ffull-record%2FWOS:000074012500010","View Full Record in Web of Science")</f>
        <v>View Full Record in Web of Science</v>
      </c>
    </row>
    <row r="988" spans="1:72" x14ac:dyDescent="0.15">
      <c r="A988" t="s">
        <v>72</v>
      </c>
      <c r="B988" t="s">
        <v>12894</v>
      </c>
      <c r="C988" t="s">
        <v>74</v>
      </c>
      <c r="D988" t="s">
        <v>74</v>
      </c>
      <c r="E988" t="s">
        <v>74</v>
      </c>
      <c r="F988" t="s">
        <v>12894</v>
      </c>
      <c r="G988" t="s">
        <v>74</v>
      </c>
      <c r="H988" t="s">
        <v>74</v>
      </c>
      <c r="I988" t="s">
        <v>12895</v>
      </c>
      <c r="J988" t="s">
        <v>12896</v>
      </c>
      <c r="K988" t="s">
        <v>74</v>
      </c>
      <c r="L988" t="s">
        <v>74</v>
      </c>
      <c r="M988" t="s">
        <v>77</v>
      </c>
      <c r="N988" t="s">
        <v>103</v>
      </c>
      <c r="O988" t="s">
        <v>74</v>
      </c>
      <c r="P988" t="s">
        <v>74</v>
      </c>
      <c r="Q988" t="s">
        <v>74</v>
      </c>
      <c r="R988" t="s">
        <v>74</v>
      </c>
      <c r="S988" t="s">
        <v>74</v>
      </c>
      <c r="T988" t="s">
        <v>74</v>
      </c>
      <c r="U988" t="s">
        <v>74</v>
      </c>
      <c r="V988" t="s">
        <v>12897</v>
      </c>
      <c r="W988" t="s">
        <v>12898</v>
      </c>
      <c r="X988" t="s">
        <v>12899</v>
      </c>
      <c r="Y988" t="s">
        <v>12900</v>
      </c>
      <c r="Z988" t="s">
        <v>74</v>
      </c>
      <c r="AA988" t="s">
        <v>12901</v>
      </c>
      <c r="AB988" t="s">
        <v>12902</v>
      </c>
      <c r="AC988" t="s">
        <v>74</v>
      </c>
      <c r="AD988" t="s">
        <v>74</v>
      </c>
      <c r="AE988" t="s">
        <v>74</v>
      </c>
      <c r="AF988" t="s">
        <v>74</v>
      </c>
      <c r="AG988">
        <v>7</v>
      </c>
      <c r="AH988">
        <v>5</v>
      </c>
      <c r="AI988">
        <v>5</v>
      </c>
      <c r="AJ988">
        <v>0</v>
      </c>
      <c r="AK988">
        <v>3</v>
      </c>
      <c r="AL988" t="s">
        <v>445</v>
      </c>
      <c r="AM988" t="s">
        <v>229</v>
      </c>
      <c r="AN988" t="s">
        <v>446</v>
      </c>
      <c r="AO988" t="s">
        <v>12903</v>
      </c>
      <c r="AP988" t="s">
        <v>74</v>
      </c>
      <c r="AQ988" t="s">
        <v>74</v>
      </c>
      <c r="AR988" t="s">
        <v>12896</v>
      </c>
      <c r="AS988" t="s">
        <v>12904</v>
      </c>
      <c r="AT988" t="s">
        <v>12254</v>
      </c>
      <c r="AU988">
        <v>1998</v>
      </c>
      <c r="AV988">
        <v>54</v>
      </c>
      <c r="AW988">
        <v>14</v>
      </c>
      <c r="AX988" t="s">
        <v>74</v>
      </c>
      <c r="AY988" t="s">
        <v>74</v>
      </c>
      <c r="AZ988" t="s">
        <v>74</v>
      </c>
      <c r="BA988" t="s">
        <v>74</v>
      </c>
      <c r="BB988">
        <v>3575</v>
      </c>
      <c r="BC988">
        <v>3580</v>
      </c>
      <c r="BD988" t="s">
        <v>74</v>
      </c>
      <c r="BE988" t="s">
        <v>12905</v>
      </c>
      <c r="BF988" t="str">
        <f>HYPERLINK("http://dx.doi.org/10.1016/S0040-4020(98)00090-8","http://dx.doi.org/10.1016/S0040-4020(98)00090-8")</f>
        <v>http://dx.doi.org/10.1016/S0040-4020(98)00090-8</v>
      </c>
      <c r="BG988" t="s">
        <v>74</v>
      </c>
      <c r="BH988" t="s">
        <v>74</v>
      </c>
      <c r="BI988">
        <v>6</v>
      </c>
      <c r="BJ988" t="s">
        <v>8869</v>
      </c>
      <c r="BK988" t="s">
        <v>7708</v>
      </c>
      <c r="BL988" t="s">
        <v>1284</v>
      </c>
      <c r="BM988" t="s">
        <v>12906</v>
      </c>
      <c r="BN988" t="s">
        <v>74</v>
      </c>
      <c r="BO988" t="s">
        <v>74</v>
      </c>
      <c r="BP988" t="s">
        <v>74</v>
      </c>
      <c r="BQ988" t="s">
        <v>74</v>
      </c>
      <c r="BR988" t="s">
        <v>98</v>
      </c>
      <c r="BS988" t="s">
        <v>12907</v>
      </c>
      <c r="BT988" t="str">
        <f>HYPERLINK("https%3A%2F%2Fwww.webofscience.com%2Fwos%2Fwoscc%2Ffull-record%2FWOS:000072539000020","View Full Record in Web of Science")</f>
        <v>View Full Record in Web of Science</v>
      </c>
    </row>
    <row r="989" spans="1:72" x14ac:dyDescent="0.15">
      <c r="A989" t="s">
        <v>72</v>
      </c>
      <c r="B989" t="s">
        <v>12908</v>
      </c>
      <c r="C989" t="s">
        <v>74</v>
      </c>
      <c r="D989" t="s">
        <v>74</v>
      </c>
      <c r="E989" t="s">
        <v>74</v>
      </c>
      <c r="F989" t="s">
        <v>12908</v>
      </c>
      <c r="G989" t="s">
        <v>74</v>
      </c>
      <c r="H989" t="s">
        <v>74</v>
      </c>
      <c r="I989" t="s">
        <v>12909</v>
      </c>
      <c r="J989" t="s">
        <v>12910</v>
      </c>
      <c r="K989" t="s">
        <v>74</v>
      </c>
      <c r="L989" t="s">
        <v>74</v>
      </c>
      <c r="M989" t="s">
        <v>77</v>
      </c>
      <c r="N989" t="s">
        <v>103</v>
      </c>
      <c r="O989" t="s">
        <v>74</v>
      </c>
      <c r="P989" t="s">
        <v>74</v>
      </c>
      <c r="Q989" t="s">
        <v>74</v>
      </c>
      <c r="R989" t="s">
        <v>74</v>
      </c>
      <c r="S989" t="s">
        <v>74</v>
      </c>
      <c r="T989" t="s">
        <v>74</v>
      </c>
      <c r="U989" t="s">
        <v>12911</v>
      </c>
      <c r="V989" t="s">
        <v>12912</v>
      </c>
      <c r="W989" t="s">
        <v>12913</v>
      </c>
      <c r="X989" t="s">
        <v>12914</v>
      </c>
      <c r="Y989" t="s">
        <v>12915</v>
      </c>
      <c r="Z989" t="s">
        <v>74</v>
      </c>
      <c r="AA989" t="s">
        <v>12916</v>
      </c>
      <c r="AB989" t="s">
        <v>12917</v>
      </c>
      <c r="AC989" t="s">
        <v>74</v>
      </c>
      <c r="AD989" t="s">
        <v>74</v>
      </c>
      <c r="AE989" t="s">
        <v>74</v>
      </c>
      <c r="AF989" t="s">
        <v>74</v>
      </c>
      <c r="AG989">
        <v>41</v>
      </c>
      <c r="AH989">
        <v>9</v>
      </c>
      <c r="AI989">
        <v>10</v>
      </c>
      <c r="AJ989">
        <v>0</v>
      </c>
      <c r="AK989">
        <v>2</v>
      </c>
      <c r="AL989" t="s">
        <v>1201</v>
      </c>
      <c r="AM989" t="s">
        <v>1202</v>
      </c>
      <c r="AN989" t="s">
        <v>1203</v>
      </c>
      <c r="AO989" t="s">
        <v>12918</v>
      </c>
      <c r="AP989" t="s">
        <v>12919</v>
      </c>
      <c r="AQ989" t="s">
        <v>74</v>
      </c>
      <c r="AR989" t="s">
        <v>12920</v>
      </c>
      <c r="AS989" t="s">
        <v>12921</v>
      </c>
      <c r="AT989" t="s">
        <v>12254</v>
      </c>
      <c r="AU989">
        <v>1998</v>
      </c>
      <c r="AV989">
        <v>20</v>
      </c>
      <c r="AW989">
        <v>2</v>
      </c>
      <c r="AX989" t="s">
        <v>74</v>
      </c>
      <c r="AY989" t="s">
        <v>74</v>
      </c>
      <c r="AZ989" t="s">
        <v>74</v>
      </c>
      <c r="BA989" t="s">
        <v>74</v>
      </c>
      <c r="BB989">
        <v>50</v>
      </c>
      <c r="BC989">
        <v>55</v>
      </c>
      <c r="BD989" t="s">
        <v>74</v>
      </c>
      <c r="BE989" t="s">
        <v>12922</v>
      </c>
      <c r="BF989" t="str">
        <f>HYPERLINK("http://dx.doi.org/10.1080/01652176.1998.9694838","http://dx.doi.org/10.1080/01652176.1998.9694838")</f>
        <v>http://dx.doi.org/10.1080/01652176.1998.9694838</v>
      </c>
      <c r="BG989" t="s">
        <v>74</v>
      </c>
      <c r="BH989" t="s">
        <v>74</v>
      </c>
      <c r="BI989">
        <v>6</v>
      </c>
      <c r="BJ989" t="s">
        <v>12923</v>
      </c>
      <c r="BK989" t="s">
        <v>95</v>
      </c>
      <c r="BL989" t="s">
        <v>12923</v>
      </c>
      <c r="BM989" t="s">
        <v>12924</v>
      </c>
      <c r="BN989">
        <v>9563160</v>
      </c>
      <c r="BO989" t="s">
        <v>1089</v>
      </c>
      <c r="BP989" t="s">
        <v>74</v>
      </c>
      <c r="BQ989" t="s">
        <v>74</v>
      </c>
      <c r="BR989" t="s">
        <v>98</v>
      </c>
      <c r="BS989" t="s">
        <v>12925</v>
      </c>
      <c r="BT989" t="str">
        <f>HYPERLINK("https%3A%2F%2Fwww.webofscience.com%2Fwos%2Fwoscc%2Ffull-record%2FWOS:000073026600003","View Full Record in Web of Science")</f>
        <v>View Full Record in Web of Science</v>
      </c>
    </row>
    <row r="990" spans="1:72" x14ac:dyDescent="0.15">
      <c r="A990" t="s">
        <v>72</v>
      </c>
      <c r="B990" t="s">
        <v>12926</v>
      </c>
      <c r="C990" t="s">
        <v>74</v>
      </c>
      <c r="D990" t="s">
        <v>74</v>
      </c>
      <c r="E990" t="s">
        <v>74</v>
      </c>
      <c r="F990" t="s">
        <v>12926</v>
      </c>
      <c r="G990" t="s">
        <v>74</v>
      </c>
      <c r="H990" t="s">
        <v>74</v>
      </c>
      <c r="I990" t="s">
        <v>12927</v>
      </c>
      <c r="J990" t="s">
        <v>3624</v>
      </c>
      <c r="K990" t="s">
        <v>74</v>
      </c>
      <c r="L990" t="s">
        <v>74</v>
      </c>
      <c r="M990" t="s">
        <v>77</v>
      </c>
      <c r="N990" t="s">
        <v>103</v>
      </c>
      <c r="O990" t="s">
        <v>74</v>
      </c>
      <c r="P990" t="s">
        <v>74</v>
      </c>
      <c r="Q990" t="s">
        <v>74</v>
      </c>
      <c r="R990" t="s">
        <v>74</v>
      </c>
      <c r="S990" t="s">
        <v>74</v>
      </c>
      <c r="T990" t="s">
        <v>12928</v>
      </c>
      <c r="U990" t="s">
        <v>12929</v>
      </c>
      <c r="V990" t="s">
        <v>12930</v>
      </c>
      <c r="W990" t="s">
        <v>12931</v>
      </c>
      <c r="X990" t="s">
        <v>10082</v>
      </c>
      <c r="Y990" t="s">
        <v>12932</v>
      </c>
      <c r="Z990" t="s">
        <v>74</v>
      </c>
      <c r="AA990" t="s">
        <v>74</v>
      </c>
      <c r="AB990" t="s">
        <v>74</v>
      </c>
      <c r="AC990" t="s">
        <v>74</v>
      </c>
      <c r="AD990" t="s">
        <v>74</v>
      </c>
      <c r="AE990" t="s">
        <v>74</v>
      </c>
      <c r="AF990" t="s">
        <v>74</v>
      </c>
      <c r="AG990">
        <v>36</v>
      </c>
      <c r="AH990">
        <v>3</v>
      </c>
      <c r="AI990">
        <v>5</v>
      </c>
      <c r="AJ990">
        <v>0</v>
      </c>
      <c r="AK990">
        <v>3</v>
      </c>
      <c r="AL990" t="s">
        <v>1037</v>
      </c>
      <c r="AM990" t="s">
        <v>1038</v>
      </c>
      <c r="AN990" t="s">
        <v>1039</v>
      </c>
      <c r="AO990" t="s">
        <v>3630</v>
      </c>
      <c r="AP990" t="s">
        <v>74</v>
      </c>
      <c r="AQ990" t="s">
        <v>74</v>
      </c>
      <c r="AR990" t="s">
        <v>3631</v>
      </c>
      <c r="AS990" t="s">
        <v>3632</v>
      </c>
      <c r="AT990" t="s">
        <v>12933</v>
      </c>
      <c r="AU990">
        <v>1998</v>
      </c>
      <c r="AV990">
        <v>156</v>
      </c>
      <c r="AW990" t="s">
        <v>1282</v>
      </c>
      <c r="AX990" t="s">
        <v>74</v>
      </c>
      <c r="AY990" t="s">
        <v>74</v>
      </c>
      <c r="AZ990" t="s">
        <v>74</v>
      </c>
      <c r="BA990" t="s">
        <v>74</v>
      </c>
      <c r="BB990">
        <v>253</v>
      </c>
      <c r="BC990">
        <v>266</v>
      </c>
      <c r="BD990" t="s">
        <v>74</v>
      </c>
      <c r="BE990" t="s">
        <v>12934</v>
      </c>
      <c r="BF990" t="str">
        <f>HYPERLINK("http://dx.doi.org/10.1016/S0012-821X(98)00010-7","http://dx.doi.org/10.1016/S0012-821X(98)00010-7")</f>
        <v>http://dx.doi.org/10.1016/S0012-821X(98)00010-7</v>
      </c>
      <c r="BG990" t="s">
        <v>74</v>
      </c>
      <c r="BH990" t="s">
        <v>74</v>
      </c>
      <c r="BI990">
        <v>14</v>
      </c>
      <c r="BJ990" t="s">
        <v>303</v>
      </c>
      <c r="BK990" t="s">
        <v>95</v>
      </c>
      <c r="BL990" t="s">
        <v>303</v>
      </c>
      <c r="BM990" t="s">
        <v>12935</v>
      </c>
      <c r="BN990" t="s">
        <v>74</v>
      </c>
      <c r="BO990" t="s">
        <v>74</v>
      </c>
      <c r="BP990" t="s">
        <v>74</v>
      </c>
      <c r="BQ990" t="s">
        <v>74</v>
      </c>
      <c r="BR990" t="s">
        <v>98</v>
      </c>
      <c r="BS990" t="s">
        <v>12936</v>
      </c>
      <c r="BT990" t="str">
        <f>HYPERLINK("https%3A%2F%2Fwww.webofscience.com%2Fwos%2Fwoscc%2Ffull-record%2FWOS:000073426100010","View Full Record in Web of Science")</f>
        <v>View Full Record in Web of Science</v>
      </c>
    </row>
    <row r="991" spans="1:72" x14ac:dyDescent="0.15">
      <c r="A991" t="s">
        <v>72</v>
      </c>
      <c r="B991" t="s">
        <v>12937</v>
      </c>
      <c r="C991" t="s">
        <v>74</v>
      </c>
      <c r="D991" t="s">
        <v>74</v>
      </c>
      <c r="E991" t="s">
        <v>74</v>
      </c>
      <c r="F991" t="s">
        <v>12937</v>
      </c>
      <c r="G991" t="s">
        <v>74</v>
      </c>
      <c r="H991" t="s">
        <v>74</v>
      </c>
      <c r="I991" t="s">
        <v>12938</v>
      </c>
      <c r="J991" t="s">
        <v>7555</v>
      </c>
      <c r="K991" t="s">
        <v>74</v>
      </c>
      <c r="L991" t="s">
        <v>74</v>
      </c>
      <c r="M991" t="s">
        <v>77</v>
      </c>
      <c r="N991" t="s">
        <v>103</v>
      </c>
      <c r="O991" t="s">
        <v>74</v>
      </c>
      <c r="P991" t="s">
        <v>74</v>
      </c>
      <c r="Q991" t="s">
        <v>74</v>
      </c>
      <c r="R991" t="s">
        <v>74</v>
      </c>
      <c r="S991" t="s">
        <v>74</v>
      </c>
      <c r="T991" t="s">
        <v>12939</v>
      </c>
      <c r="U991" t="s">
        <v>12940</v>
      </c>
      <c r="V991" t="s">
        <v>12941</v>
      </c>
      <c r="W991" t="s">
        <v>12942</v>
      </c>
      <c r="X991" t="s">
        <v>12943</v>
      </c>
      <c r="Y991" t="s">
        <v>12944</v>
      </c>
      <c r="Z991" t="s">
        <v>74</v>
      </c>
      <c r="AA991" t="s">
        <v>74</v>
      </c>
      <c r="AB991" t="s">
        <v>74</v>
      </c>
      <c r="AC991" t="s">
        <v>74</v>
      </c>
      <c r="AD991" t="s">
        <v>74</v>
      </c>
      <c r="AE991" t="s">
        <v>74</v>
      </c>
      <c r="AF991" t="s">
        <v>74</v>
      </c>
      <c r="AG991">
        <v>69</v>
      </c>
      <c r="AH991">
        <v>20</v>
      </c>
      <c r="AI991">
        <v>22</v>
      </c>
      <c r="AJ991">
        <v>3</v>
      </c>
      <c r="AK991">
        <v>17</v>
      </c>
      <c r="AL991" t="s">
        <v>655</v>
      </c>
      <c r="AM991" t="s">
        <v>656</v>
      </c>
      <c r="AN991" t="s">
        <v>657</v>
      </c>
      <c r="AO991" t="s">
        <v>7566</v>
      </c>
      <c r="AP991" t="s">
        <v>12945</v>
      </c>
      <c r="AQ991" t="s">
        <v>74</v>
      </c>
      <c r="AR991" t="s">
        <v>7567</v>
      </c>
      <c r="AS991" t="s">
        <v>7568</v>
      </c>
      <c r="AT991" t="s">
        <v>12933</v>
      </c>
      <c r="AU991">
        <v>1998</v>
      </c>
      <c r="AV991">
        <v>18</v>
      </c>
      <c r="AW991">
        <v>4</v>
      </c>
      <c r="AX991" t="s">
        <v>74</v>
      </c>
      <c r="AY991" t="s">
        <v>74</v>
      </c>
      <c r="AZ991" t="s">
        <v>74</v>
      </c>
      <c r="BA991" t="s">
        <v>74</v>
      </c>
      <c r="BB991">
        <v>457</v>
      </c>
      <c r="BC991">
        <v>472</v>
      </c>
      <c r="BD991" t="s">
        <v>74</v>
      </c>
      <c r="BE991" t="s">
        <v>12946</v>
      </c>
      <c r="BF991" t="str">
        <f>HYPERLINK("http://dx.doi.org/10.1002/(SICI)1097-0088(19980330)18:4&lt;457::AID-JOC242&gt;3.0.CO;2-#","http://dx.doi.org/10.1002/(SICI)1097-0088(19980330)18:4&lt;457::AID-JOC242&gt;3.0.CO;2-#")</f>
        <v>http://dx.doi.org/10.1002/(SICI)1097-0088(19980330)18:4&lt;457::AID-JOC242&gt;3.0.CO;2-#</v>
      </c>
      <c r="BG991" t="s">
        <v>74</v>
      </c>
      <c r="BH991" t="s">
        <v>74</v>
      </c>
      <c r="BI991">
        <v>16</v>
      </c>
      <c r="BJ991" t="s">
        <v>1418</v>
      </c>
      <c r="BK991" t="s">
        <v>95</v>
      </c>
      <c r="BL991" t="s">
        <v>1418</v>
      </c>
      <c r="BM991" t="s">
        <v>12947</v>
      </c>
      <c r="BN991" t="s">
        <v>74</v>
      </c>
      <c r="BO991" t="s">
        <v>74</v>
      </c>
      <c r="BP991" t="s">
        <v>74</v>
      </c>
      <c r="BQ991" t="s">
        <v>74</v>
      </c>
      <c r="BR991" t="s">
        <v>98</v>
      </c>
      <c r="BS991" t="s">
        <v>12948</v>
      </c>
      <c r="BT991" t="str">
        <f>HYPERLINK("https%3A%2F%2Fwww.webofscience.com%2Fwos%2Fwoscc%2Ffull-record%2FWOS:000073238900007","View Full Record in Web of Science")</f>
        <v>View Full Record in Web of Science</v>
      </c>
    </row>
    <row r="992" spans="1:72" x14ac:dyDescent="0.15">
      <c r="A992" t="s">
        <v>72</v>
      </c>
      <c r="B992" t="s">
        <v>12949</v>
      </c>
      <c r="C992" t="s">
        <v>74</v>
      </c>
      <c r="D992" t="s">
        <v>74</v>
      </c>
      <c r="E992" t="s">
        <v>74</v>
      </c>
      <c r="F992" t="s">
        <v>12949</v>
      </c>
      <c r="G992" t="s">
        <v>74</v>
      </c>
      <c r="H992" t="s">
        <v>74</v>
      </c>
      <c r="I992" t="s">
        <v>12950</v>
      </c>
      <c r="J992" t="s">
        <v>4802</v>
      </c>
      <c r="K992" t="s">
        <v>74</v>
      </c>
      <c r="L992" t="s">
        <v>74</v>
      </c>
      <c r="M992" t="s">
        <v>77</v>
      </c>
      <c r="N992" t="s">
        <v>103</v>
      </c>
      <c r="O992" t="s">
        <v>74</v>
      </c>
      <c r="P992" t="s">
        <v>74</v>
      </c>
      <c r="Q992" t="s">
        <v>74</v>
      </c>
      <c r="R992" t="s">
        <v>74</v>
      </c>
      <c r="S992" t="s">
        <v>74</v>
      </c>
      <c r="T992" t="s">
        <v>74</v>
      </c>
      <c r="U992" t="s">
        <v>12951</v>
      </c>
      <c r="V992" t="s">
        <v>12952</v>
      </c>
      <c r="W992" t="s">
        <v>12953</v>
      </c>
      <c r="X992" t="s">
        <v>12954</v>
      </c>
      <c r="Y992" t="s">
        <v>12955</v>
      </c>
      <c r="Z992" t="s">
        <v>74</v>
      </c>
      <c r="AA992" t="s">
        <v>74</v>
      </c>
      <c r="AB992" t="s">
        <v>12956</v>
      </c>
      <c r="AC992" t="s">
        <v>74</v>
      </c>
      <c r="AD992" t="s">
        <v>74</v>
      </c>
      <c r="AE992" t="s">
        <v>74</v>
      </c>
      <c r="AF992" t="s">
        <v>74</v>
      </c>
      <c r="AG992">
        <v>28</v>
      </c>
      <c r="AH992">
        <v>7</v>
      </c>
      <c r="AI992">
        <v>7</v>
      </c>
      <c r="AJ992">
        <v>0</v>
      </c>
      <c r="AK992">
        <v>0</v>
      </c>
      <c r="AL992" t="s">
        <v>966</v>
      </c>
      <c r="AM992" t="s">
        <v>967</v>
      </c>
      <c r="AN992" t="s">
        <v>968</v>
      </c>
      <c r="AO992" t="s">
        <v>4811</v>
      </c>
      <c r="AP992" t="s">
        <v>4812</v>
      </c>
      <c r="AQ992" t="s">
        <v>74</v>
      </c>
      <c r="AR992" t="s">
        <v>4813</v>
      </c>
      <c r="AS992" t="s">
        <v>4814</v>
      </c>
      <c r="AT992" t="s">
        <v>12957</v>
      </c>
      <c r="AU992">
        <v>1998</v>
      </c>
      <c r="AV992">
        <v>103</v>
      </c>
      <c r="AW992" t="s">
        <v>12958</v>
      </c>
      <c r="AX992" t="s">
        <v>74</v>
      </c>
      <c r="AY992" t="s">
        <v>74</v>
      </c>
      <c r="AZ992" t="s">
        <v>74</v>
      </c>
      <c r="BA992" t="s">
        <v>74</v>
      </c>
      <c r="BB992">
        <v>5983</v>
      </c>
      <c r="BC992">
        <v>6000</v>
      </c>
      <c r="BD992" t="s">
        <v>74</v>
      </c>
      <c r="BE992" t="s">
        <v>12959</v>
      </c>
      <c r="BF992" t="str">
        <f>HYPERLINK("http://dx.doi.org/10.1029/97JD03488","http://dx.doi.org/10.1029/97JD03488")</f>
        <v>http://dx.doi.org/10.1029/97JD03488</v>
      </c>
      <c r="BG992" t="s">
        <v>74</v>
      </c>
      <c r="BH992" t="s">
        <v>74</v>
      </c>
      <c r="BI992">
        <v>18</v>
      </c>
      <c r="BJ992" t="s">
        <v>1418</v>
      </c>
      <c r="BK992" t="s">
        <v>95</v>
      </c>
      <c r="BL992" t="s">
        <v>1418</v>
      </c>
      <c r="BM992" t="s">
        <v>12960</v>
      </c>
      <c r="BN992" t="s">
        <v>74</v>
      </c>
      <c r="BO992" t="s">
        <v>1089</v>
      </c>
      <c r="BP992" t="s">
        <v>74</v>
      </c>
      <c r="BQ992" t="s">
        <v>74</v>
      </c>
      <c r="BR992" t="s">
        <v>98</v>
      </c>
      <c r="BS992" t="s">
        <v>12961</v>
      </c>
      <c r="BT992" t="str">
        <f>HYPERLINK("https%3A%2F%2Fwww.webofscience.com%2Fwos%2Fwoscc%2Ffull-record%2FWOS:000072737800004","View Full Record in Web of Science")</f>
        <v>View Full Record in Web of Science</v>
      </c>
    </row>
    <row r="993" spans="1:72" x14ac:dyDescent="0.15">
      <c r="A993" t="s">
        <v>72</v>
      </c>
      <c r="B993" t="s">
        <v>12962</v>
      </c>
      <c r="C993" t="s">
        <v>74</v>
      </c>
      <c r="D993" t="s">
        <v>74</v>
      </c>
      <c r="E993" t="s">
        <v>74</v>
      </c>
      <c r="F993" t="s">
        <v>12962</v>
      </c>
      <c r="G993" t="s">
        <v>74</v>
      </c>
      <c r="H993" t="s">
        <v>74</v>
      </c>
      <c r="I993" t="s">
        <v>12963</v>
      </c>
      <c r="J993" t="s">
        <v>12964</v>
      </c>
      <c r="K993" t="s">
        <v>74</v>
      </c>
      <c r="L993" t="s">
        <v>74</v>
      </c>
      <c r="M993" t="s">
        <v>77</v>
      </c>
      <c r="N993" t="s">
        <v>52</v>
      </c>
      <c r="O993" t="s">
        <v>74</v>
      </c>
      <c r="P993" t="s">
        <v>74</v>
      </c>
      <c r="Q993" t="s">
        <v>74</v>
      </c>
      <c r="R993" t="s">
        <v>74</v>
      </c>
      <c r="S993" t="s">
        <v>74</v>
      </c>
      <c r="T993" t="s">
        <v>74</v>
      </c>
      <c r="U993" t="s">
        <v>74</v>
      </c>
      <c r="V993" t="s">
        <v>74</v>
      </c>
      <c r="W993" t="s">
        <v>12965</v>
      </c>
      <c r="X993" t="s">
        <v>12966</v>
      </c>
      <c r="Y993" t="s">
        <v>74</v>
      </c>
      <c r="Z993" t="s">
        <v>74</v>
      </c>
      <c r="AA993" t="s">
        <v>74</v>
      </c>
      <c r="AB993" t="s">
        <v>74</v>
      </c>
      <c r="AC993" t="s">
        <v>74</v>
      </c>
      <c r="AD993" t="s">
        <v>74</v>
      </c>
      <c r="AE993" t="s">
        <v>74</v>
      </c>
      <c r="AF993" t="s">
        <v>74</v>
      </c>
      <c r="AG993">
        <v>0</v>
      </c>
      <c r="AH993">
        <v>0</v>
      </c>
      <c r="AI993">
        <v>0</v>
      </c>
      <c r="AJ993">
        <v>0</v>
      </c>
      <c r="AK993">
        <v>0</v>
      </c>
      <c r="AL993" t="s">
        <v>12967</v>
      </c>
      <c r="AM993" t="s">
        <v>1740</v>
      </c>
      <c r="AN993" t="s">
        <v>12968</v>
      </c>
      <c r="AO993" t="s">
        <v>12969</v>
      </c>
      <c r="AP993" t="s">
        <v>74</v>
      </c>
      <c r="AQ993" t="s">
        <v>74</v>
      </c>
      <c r="AR993" t="s">
        <v>12970</v>
      </c>
      <c r="AS993" t="s">
        <v>12971</v>
      </c>
      <c r="AT993" t="s">
        <v>12972</v>
      </c>
      <c r="AU993">
        <v>1998</v>
      </c>
      <c r="AV993">
        <v>12</v>
      </c>
      <c r="AW993">
        <v>5</v>
      </c>
      <c r="AX993">
        <v>2</v>
      </c>
      <c r="AY993" t="s">
        <v>215</v>
      </c>
      <c r="AZ993" t="s">
        <v>74</v>
      </c>
      <c r="BA993">
        <v>5940</v>
      </c>
      <c r="BB993" t="s">
        <v>12973</v>
      </c>
      <c r="BC993" t="s">
        <v>12973</v>
      </c>
      <c r="BD993" t="s">
        <v>74</v>
      </c>
      <c r="BE993" t="s">
        <v>74</v>
      </c>
      <c r="BF993" t="s">
        <v>74</v>
      </c>
      <c r="BG993" t="s">
        <v>74</v>
      </c>
      <c r="BH993" t="s">
        <v>74</v>
      </c>
      <c r="BI993">
        <v>1</v>
      </c>
      <c r="BJ993" t="s">
        <v>12974</v>
      </c>
      <c r="BK993" t="s">
        <v>95</v>
      </c>
      <c r="BL993" t="s">
        <v>12975</v>
      </c>
      <c r="BM993" t="s">
        <v>12976</v>
      </c>
      <c r="BN993" t="s">
        <v>74</v>
      </c>
      <c r="BO993" t="s">
        <v>74</v>
      </c>
      <c r="BP993" t="s">
        <v>74</v>
      </c>
      <c r="BQ993" t="s">
        <v>74</v>
      </c>
      <c r="BR993" t="s">
        <v>98</v>
      </c>
      <c r="BS993" t="s">
        <v>12977</v>
      </c>
      <c r="BT993" t="str">
        <f>HYPERLINK("https%3A%2F%2Fwww.webofscience.com%2Fwos%2Fwoscc%2Ffull-record%2FWOS:000076006502323","View Full Record in Web of Science")</f>
        <v>View Full Record in Web of Science</v>
      </c>
    </row>
    <row r="994" spans="1:72" x14ac:dyDescent="0.15">
      <c r="A994" t="s">
        <v>72</v>
      </c>
      <c r="B994" t="s">
        <v>4653</v>
      </c>
      <c r="C994" t="s">
        <v>74</v>
      </c>
      <c r="D994" t="s">
        <v>74</v>
      </c>
      <c r="E994" t="s">
        <v>74</v>
      </c>
      <c r="F994" t="s">
        <v>4653</v>
      </c>
      <c r="G994" t="s">
        <v>74</v>
      </c>
      <c r="H994" t="s">
        <v>74</v>
      </c>
      <c r="I994" t="s">
        <v>12978</v>
      </c>
      <c r="J994" t="s">
        <v>12964</v>
      </c>
      <c r="K994" t="s">
        <v>74</v>
      </c>
      <c r="L994" t="s">
        <v>74</v>
      </c>
      <c r="M994" t="s">
        <v>77</v>
      </c>
      <c r="N994" t="s">
        <v>52</v>
      </c>
      <c r="O994" t="s">
        <v>74</v>
      </c>
      <c r="P994" t="s">
        <v>74</v>
      </c>
      <c r="Q994" t="s">
        <v>74</v>
      </c>
      <c r="R994" t="s">
        <v>74</v>
      </c>
      <c r="S994" t="s">
        <v>74</v>
      </c>
      <c r="T994" t="s">
        <v>74</v>
      </c>
      <c r="U994" t="s">
        <v>74</v>
      </c>
      <c r="V994" t="s">
        <v>74</v>
      </c>
      <c r="W994" t="s">
        <v>12979</v>
      </c>
      <c r="X994" t="s">
        <v>74</v>
      </c>
      <c r="Y994" t="s">
        <v>74</v>
      </c>
      <c r="Z994" t="s">
        <v>74</v>
      </c>
      <c r="AA994" t="s">
        <v>74</v>
      </c>
      <c r="AB994" t="s">
        <v>74</v>
      </c>
      <c r="AC994" t="s">
        <v>74</v>
      </c>
      <c r="AD994" t="s">
        <v>74</v>
      </c>
      <c r="AE994" t="s">
        <v>74</v>
      </c>
      <c r="AF994" t="s">
        <v>74</v>
      </c>
      <c r="AG994">
        <v>0</v>
      </c>
      <c r="AH994">
        <v>0</v>
      </c>
      <c r="AI994">
        <v>0</v>
      </c>
      <c r="AJ994">
        <v>0</v>
      </c>
      <c r="AK994">
        <v>0</v>
      </c>
      <c r="AL994" t="s">
        <v>12967</v>
      </c>
      <c r="AM994" t="s">
        <v>1740</v>
      </c>
      <c r="AN994" t="s">
        <v>12968</v>
      </c>
      <c r="AO994" t="s">
        <v>12969</v>
      </c>
      <c r="AP994" t="s">
        <v>74</v>
      </c>
      <c r="AQ994" t="s">
        <v>74</v>
      </c>
      <c r="AR994" t="s">
        <v>12970</v>
      </c>
      <c r="AS994" t="s">
        <v>12971</v>
      </c>
      <c r="AT994" t="s">
        <v>12972</v>
      </c>
      <c r="AU994">
        <v>1998</v>
      </c>
      <c r="AV994">
        <v>12</v>
      </c>
      <c r="AW994">
        <v>5</v>
      </c>
      <c r="AX994">
        <v>2</v>
      </c>
      <c r="AY994" t="s">
        <v>215</v>
      </c>
      <c r="AZ994" t="s">
        <v>74</v>
      </c>
      <c r="BA994">
        <v>4849</v>
      </c>
      <c r="BB994" t="s">
        <v>12980</v>
      </c>
      <c r="BC994" t="s">
        <v>12980</v>
      </c>
      <c r="BD994" t="s">
        <v>74</v>
      </c>
      <c r="BE994" t="s">
        <v>74</v>
      </c>
      <c r="BF994" t="s">
        <v>74</v>
      </c>
      <c r="BG994" t="s">
        <v>74</v>
      </c>
      <c r="BH994" t="s">
        <v>74</v>
      </c>
      <c r="BI994">
        <v>1</v>
      </c>
      <c r="BJ994" t="s">
        <v>12974</v>
      </c>
      <c r="BK994" t="s">
        <v>95</v>
      </c>
      <c r="BL994" t="s">
        <v>12975</v>
      </c>
      <c r="BM994" t="s">
        <v>12976</v>
      </c>
      <c r="BN994" t="s">
        <v>74</v>
      </c>
      <c r="BO994" t="s">
        <v>74</v>
      </c>
      <c r="BP994" t="s">
        <v>74</v>
      </c>
      <c r="BQ994" t="s">
        <v>74</v>
      </c>
      <c r="BR994" t="s">
        <v>98</v>
      </c>
      <c r="BS994" t="s">
        <v>12981</v>
      </c>
      <c r="BT994" t="str">
        <f>HYPERLINK("https%3A%2F%2Fwww.webofscience.com%2Fwos%2Fwoscc%2Ffull-record%2FWOS:000076006501231","View Full Record in Web of Science")</f>
        <v>View Full Record in Web of Science</v>
      </c>
    </row>
    <row r="995" spans="1:72" x14ac:dyDescent="0.15">
      <c r="A995" t="s">
        <v>72</v>
      </c>
      <c r="B995" t="s">
        <v>12982</v>
      </c>
      <c r="C995" t="s">
        <v>74</v>
      </c>
      <c r="D995" t="s">
        <v>74</v>
      </c>
      <c r="E995" t="s">
        <v>74</v>
      </c>
      <c r="F995" t="s">
        <v>12982</v>
      </c>
      <c r="G995" t="s">
        <v>74</v>
      </c>
      <c r="H995" t="s">
        <v>74</v>
      </c>
      <c r="I995" t="s">
        <v>12983</v>
      </c>
      <c r="J995" t="s">
        <v>3902</v>
      </c>
      <c r="K995" t="s">
        <v>74</v>
      </c>
      <c r="L995" t="s">
        <v>74</v>
      </c>
      <c r="M995" t="s">
        <v>77</v>
      </c>
      <c r="N995" t="s">
        <v>103</v>
      </c>
      <c r="O995" t="s">
        <v>74</v>
      </c>
      <c r="P995" t="s">
        <v>74</v>
      </c>
      <c r="Q995" t="s">
        <v>74</v>
      </c>
      <c r="R995" t="s">
        <v>74</v>
      </c>
      <c r="S995" t="s">
        <v>74</v>
      </c>
      <c r="T995" t="s">
        <v>74</v>
      </c>
      <c r="U995" t="s">
        <v>12984</v>
      </c>
      <c r="V995" t="s">
        <v>12985</v>
      </c>
      <c r="W995" t="s">
        <v>12986</v>
      </c>
      <c r="X995" t="s">
        <v>12987</v>
      </c>
      <c r="Y995" t="s">
        <v>12988</v>
      </c>
      <c r="Z995" t="s">
        <v>74</v>
      </c>
      <c r="AA995" t="s">
        <v>74</v>
      </c>
      <c r="AB995" t="s">
        <v>74</v>
      </c>
      <c r="AC995" t="s">
        <v>74</v>
      </c>
      <c r="AD995" t="s">
        <v>74</v>
      </c>
      <c r="AE995" t="s">
        <v>74</v>
      </c>
      <c r="AF995" t="s">
        <v>74</v>
      </c>
      <c r="AG995">
        <v>43</v>
      </c>
      <c r="AH995">
        <v>10</v>
      </c>
      <c r="AI995">
        <v>10</v>
      </c>
      <c r="AJ995">
        <v>0</v>
      </c>
      <c r="AK995">
        <v>2</v>
      </c>
      <c r="AL995" t="s">
        <v>3813</v>
      </c>
      <c r="AM995" t="s">
        <v>967</v>
      </c>
      <c r="AN995" t="s">
        <v>3814</v>
      </c>
      <c r="AO995" t="s">
        <v>3910</v>
      </c>
      <c r="AP995" t="s">
        <v>3911</v>
      </c>
      <c r="AQ995" t="s">
        <v>74</v>
      </c>
      <c r="AR995" t="s">
        <v>3912</v>
      </c>
      <c r="AS995" t="s">
        <v>3913</v>
      </c>
      <c r="AT995" t="s">
        <v>12989</v>
      </c>
      <c r="AU995">
        <v>1998</v>
      </c>
      <c r="AV995">
        <v>102</v>
      </c>
      <c r="AW995">
        <v>12</v>
      </c>
      <c r="AX995" t="s">
        <v>74</v>
      </c>
      <c r="AY995" t="s">
        <v>74</v>
      </c>
      <c r="AZ995" t="s">
        <v>74</v>
      </c>
      <c r="BA995" t="s">
        <v>74</v>
      </c>
      <c r="BB995">
        <v>2209</v>
      </c>
      <c r="BC995">
        <v>2214</v>
      </c>
      <c r="BD995" t="s">
        <v>74</v>
      </c>
      <c r="BE995" t="s">
        <v>12990</v>
      </c>
      <c r="BF995" t="str">
        <f>HYPERLINK("http://dx.doi.org/10.1021/jp972853s","http://dx.doi.org/10.1021/jp972853s")</f>
        <v>http://dx.doi.org/10.1021/jp972853s</v>
      </c>
      <c r="BG995" t="s">
        <v>74</v>
      </c>
      <c r="BH995" t="s">
        <v>74</v>
      </c>
      <c r="BI995">
        <v>6</v>
      </c>
      <c r="BJ995" t="s">
        <v>3654</v>
      </c>
      <c r="BK995" t="s">
        <v>95</v>
      </c>
      <c r="BL995" t="s">
        <v>3655</v>
      </c>
      <c r="BM995" t="s">
        <v>12991</v>
      </c>
      <c r="BN995" t="s">
        <v>74</v>
      </c>
      <c r="BO995" t="s">
        <v>74</v>
      </c>
      <c r="BP995" t="s">
        <v>74</v>
      </c>
      <c r="BQ995" t="s">
        <v>74</v>
      </c>
      <c r="BR995" t="s">
        <v>98</v>
      </c>
      <c r="BS995" t="s">
        <v>12992</v>
      </c>
      <c r="BT995" t="str">
        <f>HYPERLINK("https%3A%2F%2Fwww.webofscience.com%2Fwos%2Fwoscc%2Ffull-record%2FWOS:000072750700014","View Full Record in Web of Science")</f>
        <v>View Full Record in Web of Science</v>
      </c>
    </row>
    <row r="996" spans="1:72" x14ac:dyDescent="0.15">
      <c r="A996" t="s">
        <v>72</v>
      </c>
      <c r="B996" t="s">
        <v>12993</v>
      </c>
      <c r="C996" t="s">
        <v>74</v>
      </c>
      <c r="D996" t="s">
        <v>74</v>
      </c>
      <c r="E996" t="s">
        <v>74</v>
      </c>
      <c r="F996" t="s">
        <v>12993</v>
      </c>
      <c r="G996" t="s">
        <v>74</v>
      </c>
      <c r="H996" t="s">
        <v>74</v>
      </c>
      <c r="I996" t="s">
        <v>12994</v>
      </c>
      <c r="J996" t="s">
        <v>958</v>
      </c>
      <c r="K996" t="s">
        <v>74</v>
      </c>
      <c r="L996" t="s">
        <v>74</v>
      </c>
      <c r="M996" t="s">
        <v>77</v>
      </c>
      <c r="N996" t="s">
        <v>103</v>
      </c>
      <c r="O996" t="s">
        <v>74</v>
      </c>
      <c r="P996" t="s">
        <v>74</v>
      </c>
      <c r="Q996" t="s">
        <v>74</v>
      </c>
      <c r="R996" t="s">
        <v>74</v>
      </c>
      <c r="S996" t="s">
        <v>74</v>
      </c>
      <c r="T996" t="s">
        <v>74</v>
      </c>
      <c r="U996" t="s">
        <v>12995</v>
      </c>
      <c r="V996" t="s">
        <v>12996</v>
      </c>
      <c r="W996" t="s">
        <v>12997</v>
      </c>
      <c r="X996" t="s">
        <v>12700</v>
      </c>
      <c r="Y996" t="s">
        <v>12998</v>
      </c>
      <c r="Z996" t="s">
        <v>12999</v>
      </c>
      <c r="AA996" t="s">
        <v>74</v>
      </c>
      <c r="AB996" t="s">
        <v>74</v>
      </c>
      <c r="AC996" t="s">
        <v>74</v>
      </c>
      <c r="AD996" t="s">
        <v>74</v>
      </c>
      <c r="AE996" t="s">
        <v>74</v>
      </c>
      <c r="AF996" t="s">
        <v>74</v>
      </c>
      <c r="AG996">
        <v>34</v>
      </c>
      <c r="AH996">
        <v>35</v>
      </c>
      <c r="AI996">
        <v>39</v>
      </c>
      <c r="AJ996">
        <v>0</v>
      </c>
      <c r="AK996">
        <v>9</v>
      </c>
      <c r="AL996" t="s">
        <v>966</v>
      </c>
      <c r="AM996" t="s">
        <v>967</v>
      </c>
      <c r="AN996" t="s">
        <v>968</v>
      </c>
      <c r="AO996" t="s">
        <v>969</v>
      </c>
      <c r="AP996" t="s">
        <v>74</v>
      </c>
      <c r="AQ996" t="s">
        <v>74</v>
      </c>
      <c r="AR996" t="s">
        <v>970</v>
      </c>
      <c r="AS996" t="s">
        <v>971</v>
      </c>
      <c r="AT996" t="s">
        <v>13000</v>
      </c>
      <c r="AU996">
        <v>1998</v>
      </c>
      <c r="AV996">
        <v>25</v>
      </c>
      <c r="AW996">
        <v>6</v>
      </c>
      <c r="AX996" t="s">
        <v>74</v>
      </c>
      <c r="AY996" t="s">
        <v>74</v>
      </c>
      <c r="AZ996" t="s">
        <v>74</v>
      </c>
      <c r="BA996" t="s">
        <v>74</v>
      </c>
      <c r="BB996">
        <v>773</v>
      </c>
      <c r="BC996">
        <v>776</v>
      </c>
      <c r="BD996" t="s">
        <v>74</v>
      </c>
      <c r="BE996" t="s">
        <v>13001</v>
      </c>
      <c r="BF996" t="str">
        <f>HYPERLINK("http://dx.doi.org/10.1029/98GL00490","http://dx.doi.org/10.1029/98GL00490")</f>
        <v>http://dx.doi.org/10.1029/98GL00490</v>
      </c>
      <c r="BG996" t="s">
        <v>74</v>
      </c>
      <c r="BH996" t="s">
        <v>74</v>
      </c>
      <c r="BI996">
        <v>4</v>
      </c>
      <c r="BJ996" t="s">
        <v>192</v>
      </c>
      <c r="BK996" t="s">
        <v>95</v>
      </c>
      <c r="BL996" t="s">
        <v>193</v>
      </c>
      <c r="BM996" t="s">
        <v>13002</v>
      </c>
      <c r="BN996" t="s">
        <v>74</v>
      </c>
      <c r="BO996" t="s">
        <v>1089</v>
      </c>
      <c r="BP996" t="s">
        <v>74</v>
      </c>
      <c r="BQ996" t="s">
        <v>74</v>
      </c>
      <c r="BR996" t="s">
        <v>98</v>
      </c>
      <c r="BS996" t="s">
        <v>13003</v>
      </c>
      <c r="BT996" t="str">
        <f>HYPERLINK("https%3A%2F%2Fwww.webofscience.com%2Fwos%2Fwoscc%2Ffull-record%2FWOS:000072645900004","View Full Record in Web of Science")</f>
        <v>View Full Record in Web of Science</v>
      </c>
    </row>
    <row r="997" spans="1:72" x14ac:dyDescent="0.15">
      <c r="A997" t="s">
        <v>72</v>
      </c>
      <c r="B997" t="s">
        <v>13004</v>
      </c>
      <c r="C997" t="s">
        <v>74</v>
      </c>
      <c r="D997" t="s">
        <v>74</v>
      </c>
      <c r="E997" t="s">
        <v>74</v>
      </c>
      <c r="F997" t="s">
        <v>13004</v>
      </c>
      <c r="G997" t="s">
        <v>74</v>
      </c>
      <c r="H997" t="s">
        <v>74</v>
      </c>
      <c r="I997" t="s">
        <v>13005</v>
      </c>
      <c r="J997" t="s">
        <v>958</v>
      </c>
      <c r="K997" t="s">
        <v>74</v>
      </c>
      <c r="L997" t="s">
        <v>74</v>
      </c>
      <c r="M997" t="s">
        <v>77</v>
      </c>
      <c r="N997" t="s">
        <v>103</v>
      </c>
      <c r="O997" t="s">
        <v>74</v>
      </c>
      <c r="P997" t="s">
        <v>74</v>
      </c>
      <c r="Q997" t="s">
        <v>74</v>
      </c>
      <c r="R997" t="s">
        <v>74</v>
      </c>
      <c r="S997" t="s">
        <v>74</v>
      </c>
      <c r="T997" t="s">
        <v>74</v>
      </c>
      <c r="U997" t="s">
        <v>13006</v>
      </c>
      <c r="V997" t="s">
        <v>13007</v>
      </c>
      <c r="W997" t="s">
        <v>13008</v>
      </c>
      <c r="X997" t="s">
        <v>6180</v>
      </c>
      <c r="Y997" t="s">
        <v>13009</v>
      </c>
      <c r="Z997" t="s">
        <v>74</v>
      </c>
      <c r="AA997" t="s">
        <v>13010</v>
      </c>
      <c r="AB997" t="s">
        <v>13011</v>
      </c>
      <c r="AC997" t="s">
        <v>74</v>
      </c>
      <c r="AD997" t="s">
        <v>74</v>
      </c>
      <c r="AE997" t="s">
        <v>74</v>
      </c>
      <c r="AF997" t="s">
        <v>74</v>
      </c>
      <c r="AG997">
        <v>16</v>
      </c>
      <c r="AH997">
        <v>11</v>
      </c>
      <c r="AI997">
        <v>12</v>
      </c>
      <c r="AJ997">
        <v>0</v>
      </c>
      <c r="AK997">
        <v>0</v>
      </c>
      <c r="AL997" t="s">
        <v>966</v>
      </c>
      <c r="AM997" t="s">
        <v>967</v>
      </c>
      <c r="AN997" t="s">
        <v>968</v>
      </c>
      <c r="AO997" t="s">
        <v>969</v>
      </c>
      <c r="AP997" t="s">
        <v>74</v>
      </c>
      <c r="AQ997" t="s">
        <v>74</v>
      </c>
      <c r="AR997" t="s">
        <v>970</v>
      </c>
      <c r="AS997" t="s">
        <v>971</v>
      </c>
      <c r="AT997" t="s">
        <v>13000</v>
      </c>
      <c r="AU997">
        <v>1998</v>
      </c>
      <c r="AV997">
        <v>25</v>
      </c>
      <c r="AW997">
        <v>6</v>
      </c>
      <c r="AX997" t="s">
        <v>74</v>
      </c>
      <c r="AY997" t="s">
        <v>74</v>
      </c>
      <c r="AZ997" t="s">
        <v>74</v>
      </c>
      <c r="BA997" t="s">
        <v>74</v>
      </c>
      <c r="BB997">
        <v>873</v>
      </c>
      <c r="BC997">
        <v>876</v>
      </c>
      <c r="BD997" t="s">
        <v>74</v>
      </c>
      <c r="BE997" t="s">
        <v>13012</v>
      </c>
      <c r="BF997" t="str">
        <f>HYPERLINK("http://dx.doi.org/10.1029/98GL00492","http://dx.doi.org/10.1029/98GL00492")</f>
        <v>http://dx.doi.org/10.1029/98GL00492</v>
      </c>
      <c r="BG997" t="s">
        <v>74</v>
      </c>
      <c r="BH997" t="s">
        <v>74</v>
      </c>
      <c r="BI997">
        <v>4</v>
      </c>
      <c r="BJ997" t="s">
        <v>192</v>
      </c>
      <c r="BK997" t="s">
        <v>95</v>
      </c>
      <c r="BL997" t="s">
        <v>193</v>
      </c>
      <c r="BM997" t="s">
        <v>13002</v>
      </c>
      <c r="BN997" t="s">
        <v>74</v>
      </c>
      <c r="BO997" t="s">
        <v>1089</v>
      </c>
      <c r="BP997" t="s">
        <v>74</v>
      </c>
      <c r="BQ997" t="s">
        <v>74</v>
      </c>
      <c r="BR997" t="s">
        <v>98</v>
      </c>
      <c r="BS997" t="s">
        <v>13013</v>
      </c>
      <c r="BT997" t="str">
        <f>HYPERLINK("https%3A%2F%2Fwww.webofscience.com%2Fwos%2Fwoscc%2Ffull-record%2FWOS:000072645900029","View Full Record in Web of Science")</f>
        <v>View Full Record in Web of Science</v>
      </c>
    </row>
    <row r="998" spans="1:72" x14ac:dyDescent="0.15">
      <c r="A998" t="s">
        <v>72</v>
      </c>
      <c r="B998" t="s">
        <v>13014</v>
      </c>
      <c r="C998" t="s">
        <v>74</v>
      </c>
      <c r="D998" t="s">
        <v>74</v>
      </c>
      <c r="E998" t="s">
        <v>74</v>
      </c>
      <c r="F998" t="s">
        <v>13014</v>
      </c>
      <c r="G998" t="s">
        <v>74</v>
      </c>
      <c r="H998" t="s">
        <v>74</v>
      </c>
      <c r="I998" t="s">
        <v>13015</v>
      </c>
      <c r="J998" t="s">
        <v>958</v>
      </c>
      <c r="K998" t="s">
        <v>74</v>
      </c>
      <c r="L998" t="s">
        <v>74</v>
      </c>
      <c r="M998" t="s">
        <v>77</v>
      </c>
      <c r="N998" t="s">
        <v>103</v>
      </c>
      <c r="O998" t="s">
        <v>74</v>
      </c>
      <c r="P998" t="s">
        <v>74</v>
      </c>
      <c r="Q998" t="s">
        <v>74</v>
      </c>
      <c r="R998" t="s">
        <v>74</v>
      </c>
      <c r="S998" t="s">
        <v>74</v>
      </c>
      <c r="T998" t="s">
        <v>74</v>
      </c>
      <c r="U998" t="s">
        <v>13016</v>
      </c>
      <c r="V998" t="s">
        <v>13017</v>
      </c>
      <c r="W998" t="s">
        <v>13018</v>
      </c>
      <c r="X998" t="s">
        <v>13019</v>
      </c>
      <c r="Y998" t="s">
        <v>13020</v>
      </c>
      <c r="Z998" t="s">
        <v>74</v>
      </c>
      <c r="AA998" t="s">
        <v>13021</v>
      </c>
      <c r="AB998" t="s">
        <v>13022</v>
      </c>
      <c r="AC998" t="s">
        <v>74</v>
      </c>
      <c r="AD998" t="s">
        <v>74</v>
      </c>
      <c r="AE998" t="s">
        <v>74</v>
      </c>
      <c r="AF998" t="s">
        <v>74</v>
      </c>
      <c r="AG998">
        <v>18</v>
      </c>
      <c r="AH998">
        <v>22</v>
      </c>
      <c r="AI998">
        <v>25</v>
      </c>
      <c r="AJ998">
        <v>0</v>
      </c>
      <c r="AK998">
        <v>1</v>
      </c>
      <c r="AL998" t="s">
        <v>966</v>
      </c>
      <c r="AM998" t="s">
        <v>967</v>
      </c>
      <c r="AN998" t="s">
        <v>968</v>
      </c>
      <c r="AO998" t="s">
        <v>969</v>
      </c>
      <c r="AP998" t="s">
        <v>74</v>
      </c>
      <c r="AQ998" t="s">
        <v>74</v>
      </c>
      <c r="AR998" t="s">
        <v>970</v>
      </c>
      <c r="AS998" t="s">
        <v>971</v>
      </c>
      <c r="AT998" t="s">
        <v>13000</v>
      </c>
      <c r="AU998">
        <v>1998</v>
      </c>
      <c r="AV998">
        <v>25</v>
      </c>
      <c r="AW998">
        <v>6</v>
      </c>
      <c r="AX998" t="s">
        <v>74</v>
      </c>
      <c r="AY998" t="s">
        <v>74</v>
      </c>
      <c r="AZ998" t="s">
        <v>74</v>
      </c>
      <c r="BA998" t="s">
        <v>74</v>
      </c>
      <c r="BB998">
        <v>881</v>
      </c>
      <c r="BC998">
        <v>884</v>
      </c>
      <c r="BD998" t="s">
        <v>74</v>
      </c>
      <c r="BE998" t="s">
        <v>13023</v>
      </c>
      <c r="BF998" t="str">
        <f>HYPERLINK("http://dx.doi.org/10.1029/98GL00408","http://dx.doi.org/10.1029/98GL00408")</f>
        <v>http://dx.doi.org/10.1029/98GL00408</v>
      </c>
      <c r="BG998" t="s">
        <v>74</v>
      </c>
      <c r="BH998" t="s">
        <v>74</v>
      </c>
      <c r="BI998">
        <v>4</v>
      </c>
      <c r="BJ998" t="s">
        <v>192</v>
      </c>
      <c r="BK998" t="s">
        <v>95</v>
      </c>
      <c r="BL998" t="s">
        <v>193</v>
      </c>
      <c r="BM998" t="s">
        <v>13002</v>
      </c>
      <c r="BN998" t="s">
        <v>74</v>
      </c>
      <c r="BO998" t="s">
        <v>1938</v>
      </c>
      <c r="BP998" t="s">
        <v>74</v>
      </c>
      <c r="BQ998" t="s">
        <v>74</v>
      </c>
      <c r="BR998" t="s">
        <v>98</v>
      </c>
      <c r="BS998" t="s">
        <v>13024</v>
      </c>
      <c r="BT998" t="str">
        <f>HYPERLINK("https%3A%2F%2Fwww.webofscience.com%2Fwos%2Fwoscc%2Ffull-record%2FWOS:000072645900031","View Full Record in Web of Science")</f>
        <v>View Full Record in Web of Science</v>
      </c>
    </row>
    <row r="999" spans="1:72" x14ac:dyDescent="0.15">
      <c r="A999" t="s">
        <v>72</v>
      </c>
      <c r="B999" t="s">
        <v>13025</v>
      </c>
      <c r="C999" t="s">
        <v>74</v>
      </c>
      <c r="D999" t="s">
        <v>74</v>
      </c>
      <c r="E999" t="s">
        <v>74</v>
      </c>
      <c r="F999" t="s">
        <v>13025</v>
      </c>
      <c r="G999" t="s">
        <v>74</v>
      </c>
      <c r="H999" t="s">
        <v>74</v>
      </c>
      <c r="I999" t="s">
        <v>13026</v>
      </c>
      <c r="J999" t="s">
        <v>7555</v>
      </c>
      <c r="K999" t="s">
        <v>74</v>
      </c>
      <c r="L999" t="s">
        <v>74</v>
      </c>
      <c r="M999" t="s">
        <v>77</v>
      </c>
      <c r="N999" t="s">
        <v>103</v>
      </c>
      <c r="O999" t="s">
        <v>74</v>
      </c>
      <c r="P999" t="s">
        <v>74</v>
      </c>
      <c r="Q999" t="s">
        <v>74</v>
      </c>
      <c r="R999" t="s">
        <v>74</v>
      </c>
      <c r="S999" t="s">
        <v>74</v>
      </c>
      <c r="T999" t="s">
        <v>13027</v>
      </c>
      <c r="U999" t="s">
        <v>13028</v>
      </c>
      <c r="V999" t="s">
        <v>13029</v>
      </c>
      <c r="W999" t="s">
        <v>11597</v>
      </c>
      <c r="X999" t="s">
        <v>628</v>
      </c>
      <c r="Y999" t="s">
        <v>13030</v>
      </c>
      <c r="Z999" t="s">
        <v>13031</v>
      </c>
      <c r="AA999" t="s">
        <v>74</v>
      </c>
      <c r="AB999" t="s">
        <v>13032</v>
      </c>
      <c r="AC999" t="s">
        <v>74</v>
      </c>
      <c r="AD999" t="s">
        <v>74</v>
      </c>
      <c r="AE999" t="s">
        <v>74</v>
      </c>
      <c r="AF999" t="s">
        <v>74</v>
      </c>
      <c r="AG999">
        <v>32</v>
      </c>
      <c r="AH999">
        <v>50</v>
      </c>
      <c r="AI999">
        <v>54</v>
      </c>
      <c r="AJ999">
        <v>0</v>
      </c>
      <c r="AK999">
        <v>2</v>
      </c>
      <c r="AL999" t="s">
        <v>7563</v>
      </c>
      <c r="AM999" t="s">
        <v>7564</v>
      </c>
      <c r="AN999" t="s">
        <v>7565</v>
      </c>
      <c r="AO999" t="s">
        <v>7566</v>
      </c>
      <c r="AP999" t="s">
        <v>74</v>
      </c>
      <c r="AQ999" t="s">
        <v>74</v>
      </c>
      <c r="AR999" t="s">
        <v>7567</v>
      </c>
      <c r="AS999" t="s">
        <v>7568</v>
      </c>
      <c r="AT999" t="s">
        <v>13000</v>
      </c>
      <c r="AU999">
        <v>1998</v>
      </c>
      <c r="AV999">
        <v>18</v>
      </c>
      <c r="AW999">
        <v>3</v>
      </c>
      <c r="AX999" t="s">
        <v>74</v>
      </c>
      <c r="AY999" t="s">
        <v>74</v>
      </c>
      <c r="AZ999" t="s">
        <v>74</v>
      </c>
      <c r="BA999" t="s">
        <v>74</v>
      </c>
      <c r="BB999">
        <v>253</v>
      </c>
      <c r="BC999">
        <v>280</v>
      </c>
      <c r="BD999" t="s">
        <v>74</v>
      </c>
      <c r="BE999" t="s">
        <v>13033</v>
      </c>
      <c r="BF999" t="str">
        <f>HYPERLINK("http://dx.doi.org/10.1002/(SICI)1097-0088(19980315)18:3&lt;253::AID-JOC248&gt;3.3.CO;2-V","http://dx.doi.org/10.1002/(SICI)1097-0088(19980315)18:3&lt;253::AID-JOC248&gt;3.3.CO;2-V")</f>
        <v>http://dx.doi.org/10.1002/(SICI)1097-0088(19980315)18:3&lt;253::AID-JOC248&gt;3.3.CO;2-V</v>
      </c>
      <c r="BG999" t="s">
        <v>74</v>
      </c>
      <c r="BH999" t="s">
        <v>74</v>
      </c>
      <c r="BI999">
        <v>28</v>
      </c>
      <c r="BJ999" t="s">
        <v>1418</v>
      </c>
      <c r="BK999" t="s">
        <v>95</v>
      </c>
      <c r="BL999" t="s">
        <v>1418</v>
      </c>
      <c r="BM999" t="s">
        <v>13034</v>
      </c>
      <c r="BN999" t="s">
        <v>74</v>
      </c>
      <c r="BO999" t="s">
        <v>74</v>
      </c>
      <c r="BP999" t="s">
        <v>74</v>
      </c>
      <c r="BQ999" t="s">
        <v>74</v>
      </c>
      <c r="BR999" t="s">
        <v>98</v>
      </c>
      <c r="BS999" t="s">
        <v>13035</v>
      </c>
      <c r="BT999" t="str">
        <f>HYPERLINK("https%3A%2F%2Fwww.webofscience.com%2Fwos%2Fwoscc%2Ffull-record%2FWOS:000072706000002","View Full Record in Web of Science")</f>
        <v>View Full Record in Web of Science</v>
      </c>
    </row>
    <row r="1000" spans="1:72" x14ac:dyDescent="0.15">
      <c r="A1000" t="s">
        <v>72</v>
      </c>
      <c r="B1000" t="s">
        <v>13036</v>
      </c>
      <c r="C1000" t="s">
        <v>74</v>
      </c>
      <c r="D1000" t="s">
        <v>74</v>
      </c>
      <c r="E1000" t="s">
        <v>74</v>
      </c>
      <c r="F1000" t="s">
        <v>13036</v>
      </c>
      <c r="G1000" t="s">
        <v>74</v>
      </c>
      <c r="H1000" t="s">
        <v>74</v>
      </c>
      <c r="I1000" t="s">
        <v>13037</v>
      </c>
      <c r="J1000" t="s">
        <v>3825</v>
      </c>
      <c r="K1000" t="s">
        <v>74</v>
      </c>
      <c r="L1000" t="s">
        <v>74</v>
      </c>
      <c r="M1000" t="s">
        <v>77</v>
      </c>
      <c r="N1000" t="s">
        <v>103</v>
      </c>
      <c r="O1000" t="s">
        <v>74</v>
      </c>
      <c r="P1000" t="s">
        <v>74</v>
      </c>
      <c r="Q1000" t="s">
        <v>74</v>
      </c>
      <c r="R1000" t="s">
        <v>74</v>
      </c>
      <c r="S1000" t="s">
        <v>74</v>
      </c>
      <c r="T1000" t="s">
        <v>74</v>
      </c>
      <c r="U1000" t="s">
        <v>13038</v>
      </c>
      <c r="V1000" t="s">
        <v>13039</v>
      </c>
      <c r="W1000" t="s">
        <v>458</v>
      </c>
      <c r="X1000" t="s">
        <v>459</v>
      </c>
      <c r="Y1000" t="s">
        <v>13040</v>
      </c>
      <c r="Z1000" t="s">
        <v>74</v>
      </c>
      <c r="AA1000" t="s">
        <v>74</v>
      </c>
      <c r="AB1000" t="s">
        <v>74</v>
      </c>
      <c r="AC1000" t="s">
        <v>74</v>
      </c>
      <c r="AD1000" t="s">
        <v>74</v>
      </c>
      <c r="AE1000" t="s">
        <v>74</v>
      </c>
      <c r="AF1000" t="s">
        <v>74</v>
      </c>
      <c r="AG1000">
        <v>39</v>
      </c>
      <c r="AH1000">
        <v>21</v>
      </c>
      <c r="AI1000">
        <v>22</v>
      </c>
      <c r="AJ1000">
        <v>0</v>
      </c>
      <c r="AK1000">
        <v>4</v>
      </c>
      <c r="AL1000" t="s">
        <v>966</v>
      </c>
      <c r="AM1000" t="s">
        <v>967</v>
      </c>
      <c r="AN1000" t="s">
        <v>968</v>
      </c>
      <c r="AO1000" t="s">
        <v>74</v>
      </c>
      <c r="AP1000" t="s">
        <v>74</v>
      </c>
      <c r="AQ1000" t="s">
        <v>74</v>
      </c>
      <c r="AR1000" t="s">
        <v>3835</v>
      </c>
      <c r="AS1000" t="s">
        <v>3836</v>
      </c>
      <c r="AT1000" t="s">
        <v>13000</v>
      </c>
      <c r="AU1000">
        <v>1998</v>
      </c>
      <c r="AV1000">
        <v>103</v>
      </c>
      <c r="AW1000" t="s">
        <v>13041</v>
      </c>
      <c r="AX1000" t="s">
        <v>74</v>
      </c>
      <c r="AY1000" t="s">
        <v>74</v>
      </c>
      <c r="AZ1000" t="s">
        <v>74</v>
      </c>
      <c r="BA1000" t="s">
        <v>74</v>
      </c>
      <c r="BB1000">
        <v>5419</v>
      </c>
      <c r="BC1000">
        <v>5428</v>
      </c>
      <c r="BD1000" t="s">
        <v>74</v>
      </c>
      <c r="BE1000" t="s">
        <v>13042</v>
      </c>
      <c r="BF1000" t="str">
        <f>HYPERLINK("http://dx.doi.org/10.1029/97JC03287","http://dx.doi.org/10.1029/97JC03287")</f>
        <v>http://dx.doi.org/10.1029/97JC03287</v>
      </c>
      <c r="BG1000" t="s">
        <v>74</v>
      </c>
      <c r="BH1000" t="s">
        <v>74</v>
      </c>
      <c r="BI1000">
        <v>10</v>
      </c>
      <c r="BJ1000" t="s">
        <v>451</v>
      </c>
      <c r="BK1000" t="s">
        <v>95</v>
      </c>
      <c r="BL1000" t="s">
        <v>451</v>
      </c>
      <c r="BM1000" t="s">
        <v>13043</v>
      </c>
      <c r="BN1000" t="s">
        <v>74</v>
      </c>
      <c r="BO1000" t="s">
        <v>1938</v>
      </c>
      <c r="BP1000" t="s">
        <v>74</v>
      </c>
      <c r="BQ1000" t="s">
        <v>74</v>
      </c>
      <c r="BR1000" t="s">
        <v>98</v>
      </c>
      <c r="BS1000" t="s">
        <v>13044</v>
      </c>
      <c r="BT1000" t="str">
        <f>HYPERLINK("https%3A%2F%2Fwww.webofscience.com%2Fwos%2Fwoscc%2Ffull-record%2FWOS:000072525300006","View Full Record in Web of Science")</f>
        <v>View Full Record in Web of Science</v>
      </c>
    </row>
    <row r="1001" spans="1:72" x14ac:dyDescent="0.15">
      <c r="A1001" t="s">
        <v>72</v>
      </c>
      <c r="B1001" t="s">
        <v>13045</v>
      </c>
      <c r="C1001" t="s">
        <v>74</v>
      </c>
      <c r="D1001" t="s">
        <v>74</v>
      </c>
      <c r="E1001" t="s">
        <v>74</v>
      </c>
      <c r="F1001" t="s">
        <v>13045</v>
      </c>
      <c r="G1001" t="s">
        <v>74</v>
      </c>
      <c r="H1001" t="s">
        <v>74</v>
      </c>
      <c r="I1001" t="s">
        <v>13046</v>
      </c>
      <c r="J1001" t="s">
        <v>3825</v>
      </c>
      <c r="K1001" t="s">
        <v>74</v>
      </c>
      <c r="L1001" t="s">
        <v>74</v>
      </c>
      <c r="M1001" t="s">
        <v>77</v>
      </c>
      <c r="N1001" t="s">
        <v>103</v>
      </c>
      <c r="O1001" t="s">
        <v>74</v>
      </c>
      <c r="P1001" t="s">
        <v>74</v>
      </c>
      <c r="Q1001" t="s">
        <v>74</v>
      </c>
      <c r="R1001" t="s">
        <v>74</v>
      </c>
      <c r="S1001" t="s">
        <v>74</v>
      </c>
      <c r="T1001" t="s">
        <v>74</v>
      </c>
      <c r="U1001" t="s">
        <v>13047</v>
      </c>
      <c r="V1001" t="s">
        <v>13048</v>
      </c>
      <c r="W1001" t="s">
        <v>13049</v>
      </c>
      <c r="X1001" t="s">
        <v>13050</v>
      </c>
      <c r="Y1001" t="s">
        <v>13051</v>
      </c>
      <c r="Z1001" t="s">
        <v>74</v>
      </c>
      <c r="AA1001" t="s">
        <v>74</v>
      </c>
      <c r="AB1001" t="s">
        <v>74</v>
      </c>
      <c r="AC1001" t="s">
        <v>74</v>
      </c>
      <c r="AD1001" t="s">
        <v>74</v>
      </c>
      <c r="AE1001" t="s">
        <v>74</v>
      </c>
      <c r="AF1001" t="s">
        <v>74</v>
      </c>
      <c r="AG1001">
        <v>41</v>
      </c>
      <c r="AH1001">
        <v>55</v>
      </c>
      <c r="AI1001">
        <v>57</v>
      </c>
      <c r="AJ1001">
        <v>0</v>
      </c>
      <c r="AK1001">
        <v>1</v>
      </c>
      <c r="AL1001" t="s">
        <v>966</v>
      </c>
      <c r="AM1001" t="s">
        <v>967</v>
      </c>
      <c r="AN1001" t="s">
        <v>968</v>
      </c>
      <c r="AO1001" t="s">
        <v>74</v>
      </c>
      <c r="AP1001" t="s">
        <v>74</v>
      </c>
      <c r="AQ1001" t="s">
        <v>74</v>
      </c>
      <c r="AR1001" t="s">
        <v>3835</v>
      </c>
      <c r="AS1001" t="s">
        <v>3836</v>
      </c>
      <c r="AT1001" t="s">
        <v>13000</v>
      </c>
      <c r="AU1001">
        <v>1998</v>
      </c>
      <c r="AV1001">
        <v>103</v>
      </c>
      <c r="AW1001" t="s">
        <v>13041</v>
      </c>
      <c r="AX1001" t="s">
        <v>74</v>
      </c>
      <c r="AY1001" t="s">
        <v>74</v>
      </c>
      <c r="AZ1001" t="s">
        <v>74</v>
      </c>
      <c r="BA1001" t="s">
        <v>74</v>
      </c>
      <c r="BB1001">
        <v>5429</v>
      </c>
      <c r="BC1001">
        <v>5437</v>
      </c>
      <c r="BD1001" t="s">
        <v>74</v>
      </c>
      <c r="BE1001" t="s">
        <v>13052</v>
      </c>
      <c r="BF1001" t="str">
        <f>HYPERLINK("http://dx.doi.org/10.1029/97JC03529","http://dx.doi.org/10.1029/97JC03529")</f>
        <v>http://dx.doi.org/10.1029/97JC03529</v>
      </c>
      <c r="BG1001" t="s">
        <v>74</v>
      </c>
      <c r="BH1001" t="s">
        <v>74</v>
      </c>
      <c r="BI1001">
        <v>9</v>
      </c>
      <c r="BJ1001" t="s">
        <v>451</v>
      </c>
      <c r="BK1001" t="s">
        <v>95</v>
      </c>
      <c r="BL1001" t="s">
        <v>451</v>
      </c>
      <c r="BM1001" t="s">
        <v>13043</v>
      </c>
      <c r="BN1001" t="s">
        <v>74</v>
      </c>
      <c r="BO1001" t="s">
        <v>2825</v>
      </c>
      <c r="BP1001" t="s">
        <v>74</v>
      </c>
      <c r="BQ1001" t="s">
        <v>74</v>
      </c>
      <c r="BR1001" t="s">
        <v>98</v>
      </c>
      <c r="BS1001" t="s">
        <v>13053</v>
      </c>
      <c r="BT1001" t="str">
        <f>HYPERLINK("https%3A%2F%2Fwww.webofscience.com%2Fwos%2Fwoscc%2Ffull-record%2FWOS:000072525300007","View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2024-07-28T15:26:40Z</dcterms:created>
  <dcterms:modified xsi:type="dcterms:W3CDTF">2024-07-28T15:26:40Z</dcterms:modified>
</cp:coreProperties>
</file>